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ri/Desktop/CEO/QUANLY/QL-MARKETING/"/>
    </mc:Choice>
  </mc:AlternateContent>
  <xr:revisionPtr revIDLastSave="0" documentId="8_{CE6F218C-F00D-1741-8D10-91886680D8CA}" xr6:coauthVersionLast="47" xr6:coauthVersionMax="47" xr10:uidLastSave="{00000000-0000-0000-0000-000000000000}"/>
  <bookViews>
    <workbookView xWindow="4060" yWindow="3260" windowWidth="27240" windowHeight="16180" activeTab="1" xr2:uid="{AFAD19EB-0644-614E-8CE7-ABC3F9856E19}"/>
  </bookViews>
  <sheets>
    <sheet name="KE HOACH DONG TIEN" sheetId="2" r:id="rId1"/>
    <sheet name="CHI PHI DAU TU" sheetId="1" r:id="rId2"/>
  </sheets>
  <externalReferences>
    <externalReference r:id="rId3"/>
  </externalReferences>
  <definedNames>
    <definedName name="_Fill" hidden="1">#REF!</definedName>
    <definedName name="a">#REF!</definedName>
    <definedName name="_xlnm.Database">#REF!</definedName>
    <definedName name="kljzhsdkjfhs">#REF!</definedName>
    <definedName name="_xlnm.Print_Titles" localSheetId="1">'CHI PHI DAU TU'!$2:$2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1" i="2" l="1"/>
  <c r="H64" i="2"/>
  <c r="C59" i="2"/>
  <c r="C21" i="2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20" i="2"/>
  <c r="C19" i="2"/>
  <c r="B19" i="2"/>
  <c r="B20" i="2" s="1"/>
  <c r="H13" i="2"/>
  <c r="H14" i="2" s="1"/>
  <c r="D13" i="2"/>
  <c r="O54" i="2" s="1"/>
  <c r="D6" i="2"/>
  <c r="L59" i="2" s="1"/>
  <c r="G26" i="1"/>
  <c r="G25" i="1" s="1"/>
  <c r="E26" i="1"/>
  <c r="E25" i="1" s="1"/>
  <c r="D25" i="1"/>
  <c r="G24" i="1"/>
  <c r="E24" i="1"/>
  <c r="E23" i="1" s="1"/>
  <c r="G23" i="1"/>
  <c r="D23" i="1"/>
  <c r="E22" i="1"/>
  <c r="G22" i="1" s="1"/>
  <c r="E21" i="1"/>
  <c r="G21" i="1" s="1"/>
  <c r="G20" i="1"/>
  <c r="E20" i="1"/>
  <c r="G19" i="1"/>
  <c r="E19" i="1"/>
  <c r="G18" i="1"/>
  <c r="E18" i="1"/>
  <c r="E17" i="1"/>
  <c r="E14" i="1" s="1"/>
  <c r="E16" i="1"/>
  <c r="G16" i="1" s="1"/>
  <c r="G15" i="1"/>
  <c r="E15" i="1"/>
  <c r="D14" i="1"/>
  <c r="G13" i="1"/>
  <c r="E13" i="1"/>
  <c r="E12" i="1" s="1"/>
  <c r="G12" i="1"/>
  <c r="D12" i="1"/>
  <c r="G11" i="1"/>
  <c r="E11" i="1"/>
  <c r="G10" i="1"/>
  <c r="G9" i="1" s="1"/>
  <c r="E10" i="1"/>
  <c r="E9" i="1" s="1"/>
  <c r="D9" i="1"/>
  <c r="G8" i="1"/>
  <c r="E8" i="1"/>
  <c r="E7" i="1"/>
  <c r="G7" i="1" s="1"/>
  <c r="G6" i="1"/>
  <c r="E6" i="1"/>
  <c r="E4" i="1" s="1"/>
  <c r="G5" i="1"/>
  <c r="G4" i="1" s="1"/>
  <c r="E5" i="1"/>
  <c r="E32" i="1" s="1"/>
  <c r="D4" i="1"/>
  <c r="D29" i="1" s="1"/>
  <c r="D20" i="2" l="1"/>
  <c r="B21" i="2"/>
  <c r="C55" i="2"/>
  <c r="D19" i="2"/>
  <c r="O19" i="2"/>
  <c r="O21" i="2"/>
  <c r="O23" i="2"/>
  <c r="O25" i="2"/>
  <c r="O27" i="2"/>
  <c r="O29" i="2"/>
  <c r="O31" i="2"/>
  <c r="O33" i="2"/>
  <c r="O35" i="2"/>
  <c r="O37" i="2"/>
  <c r="O39" i="2"/>
  <c r="O41" i="2"/>
  <c r="O43" i="2"/>
  <c r="O45" i="2"/>
  <c r="O47" i="2"/>
  <c r="O49" i="2"/>
  <c r="O51" i="2"/>
  <c r="O53" i="2"/>
  <c r="O20" i="2"/>
  <c r="O22" i="2"/>
  <c r="O24" i="2"/>
  <c r="O26" i="2"/>
  <c r="O28" i="2"/>
  <c r="O30" i="2"/>
  <c r="O32" i="2"/>
  <c r="O34" i="2"/>
  <c r="O36" i="2"/>
  <c r="O38" i="2"/>
  <c r="O40" i="2"/>
  <c r="O42" i="2"/>
  <c r="O44" i="2"/>
  <c r="O46" i="2"/>
  <c r="O48" i="2"/>
  <c r="O50" i="2"/>
  <c r="O52" i="2"/>
  <c r="E29" i="1"/>
  <c r="G17" i="1"/>
  <c r="G14" i="1" s="1"/>
  <c r="G29" i="1" s="1"/>
  <c r="O55" i="2" l="1"/>
  <c r="K19" i="2"/>
  <c r="J19" i="2"/>
  <c r="I19" i="2"/>
  <c r="H19" i="2"/>
  <c r="G19" i="2"/>
  <c r="F19" i="2"/>
  <c r="G92" i="2"/>
  <c r="L19" i="2"/>
  <c r="B22" i="2"/>
  <c r="D21" i="2"/>
  <c r="G93" i="2"/>
  <c r="F20" i="2"/>
  <c r="E20" i="2"/>
  <c r="L20" i="2"/>
  <c r="K20" i="2"/>
  <c r="J20" i="2"/>
  <c r="I20" i="2"/>
  <c r="H20" i="2"/>
  <c r="G20" i="2"/>
  <c r="H2" i="1"/>
  <c r="G32" i="1"/>
  <c r="E33" i="1"/>
  <c r="D32" i="1"/>
  <c r="D33" i="1" s="1"/>
  <c r="M19" i="2" l="1"/>
  <c r="K21" i="2"/>
  <c r="J21" i="2"/>
  <c r="I21" i="2"/>
  <c r="H21" i="2"/>
  <c r="G94" i="2"/>
  <c r="G21" i="2"/>
  <c r="F21" i="2"/>
  <c r="M21" i="2" s="1"/>
  <c r="H94" i="2" s="1"/>
  <c r="E21" i="2"/>
  <c r="L21" i="2"/>
  <c r="D22" i="2"/>
  <c r="B23" i="2"/>
  <c r="M20" i="2"/>
  <c r="B24" i="2" l="1"/>
  <c r="D23" i="2"/>
  <c r="F22" i="2"/>
  <c r="E22" i="2"/>
  <c r="L22" i="2"/>
  <c r="K22" i="2"/>
  <c r="J22" i="2"/>
  <c r="I22" i="2"/>
  <c r="G95" i="2"/>
  <c r="H22" i="2"/>
  <c r="G22" i="2"/>
  <c r="N21" i="2"/>
  <c r="P21" i="2" s="1"/>
  <c r="H92" i="2"/>
  <c r="N19" i="2"/>
  <c r="H93" i="2"/>
  <c r="N20" i="2"/>
  <c r="P20" i="2" s="1"/>
  <c r="M22" i="2" l="1"/>
  <c r="K23" i="2"/>
  <c r="J23" i="2"/>
  <c r="I23" i="2"/>
  <c r="H23" i="2"/>
  <c r="G23" i="2"/>
  <c r="G96" i="2"/>
  <c r="F23" i="2"/>
  <c r="E23" i="2"/>
  <c r="L23" i="2"/>
  <c r="B61" i="2"/>
  <c r="I93" i="2"/>
  <c r="P19" i="2"/>
  <c r="I94" i="2"/>
  <c r="B62" i="2"/>
  <c r="D24" i="2"/>
  <c r="B25" i="2"/>
  <c r="B60" i="2" l="1"/>
  <c r="C60" i="2" s="1"/>
  <c r="I92" i="2"/>
  <c r="M23" i="2"/>
  <c r="F24" i="2"/>
  <c r="E24" i="2"/>
  <c r="G97" i="2"/>
  <c r="L24" i="2"/>
  <c r="K24" i="2"/>
  <c r="J24" i="2"/>
  <c r="I24" i="2"/>
  <c r="H24" i="2"/>
  <c r="G24" i="2"/>
  <c r="B26" i="2"/>
  <c r="D25" i="2"/>
  <c r="H95" i="2"/>
  <c r="N22" i="2"/>
  <c r="P22" i="2" l="1"/>
  <c r="K25" i="2"/>
  <c r="J25" i="2"/>
  <c r="I25" i="2"/>
  <c r="H25" i="2"/>
  <c r="G25" i="2"/>
  <c r="F25" i="2"/>
  <c r="E25" i="2"/>
  <c r="G98" i="2"/>
  <c r="L25" i="2"/>
  <c r="D26" i="2"/>
  <c r="B27" i="2"/>
  <c r="M24" i="2"/>
  <c r="H96" i="2"/>
  <c r="N23" i="2"/>
  <c r="P23" i="2" s="1"/>
  <c r="C61" i="2"/>
  <c r="D60" i="2"/>
  <c r="H97" i="2" l="1"/>
  <c r="N24" i="2"/>
  <c r="B28" i="2"/>
  <c r="D27" i="2"/>
  <c r="F26" i="2"/>
  <c r="E26" i="2"/>
  <c r="L26" i="2"/>
  <c r="K26" i="2"/>
  <c r="G99" i="2"/>
  <c r="J26" i="2"/>
  <c r="I26" i="2"/>
  <c r="H26" i="2"/>
  <c r="G26" i="2"/>
  <c r="I96" i="2"/>
  <c r="B64" i="2"/>
  <c r="D61" i="2"/>
  <c r="C62" i="2"/>
  <c r="B63" i="2"/>
  <c r="I95" i="2"/>
  <c r="M25" i="2"/>
  <c r="P24" i="2" l="1"/>
  <c r="M26" i="2"/>
  <c r="K27" i="2"/>
  <c r="J27" i="2"/>
  <c r="I27" i="2"/>
  <c r="G100" i="2"/>
  <c r="H27" i="2"/>
  <c r="G27" i="2"/>
  <c r="F27" i="2"/>
  <c r="E27" i="2"/>
  <c r="L27" i="2"/>
  <c r="D28" i="2"/>
  <c r="B29" i="2"/>
  <c r="C63" i="2"/>
  <c r="D62" i="2"/>
  <c r="H98" i="2"/>
  <c r="N25" i="2"/>
  <c r="P25" i="2" s="1"/>
  <c r="D63" i="2" l="1"/>
  <c r="C64" i="2"/>
  <c r="B30" i="2"/>
  <c r="D29" i="2"/>
  <c r="G101" i="2"/>
  <c r="F28" i="2"/>
  <c r="E28" i="2"/>
  <c r="L28" i="2"/>
  <c r="K28" i="2"/>
  <c r="J28" i="2"/>
  <c r="I28" i="2"/>
  <c r="H28" i="2"/>
  <c r="G28" i="2"/>
  <c r="H99" i="2"/>
  <c r="N26" i="2"/>
  <c r="P26" i="2" s="1"/>
  <c r="I98" i="2"/>
  <c r="B66" i="2"/>
  <c r="M27" i="2"/>
  <c r="I97" i="2"/>
  <c r="B65" i="2"/>
  <c r="M28" i="2" l="1"/>
  <c r="K29" i="2"/>
  <c r="J29" i="2"/>
  <c r="I29" i="2"/>
  <c r="H29" i="2"/>
  <c r="G29" i="2"/>
  <c r="F29" i="2"/>
  <c r="M29" i="2" s="1"/>
  <c r="H102" i="2" s="1"/>
  <c r="E29" i="2"/>
  <c r="G102" i="2"/>
  <c r="N29" i="2"/>
  <c r="P29" i="2" s="1"/>
  <c r="L29" i="2"/>
  <c r="D30" i="2"/>
  <c r="B31" i="2"/>
  <c r="B67" i="2"/>
  <c r="I99" i="2"/>
  <c r="H100" i="2"/>
  <c r="N27" i="2"/>
  <c r="C65" i="2"/>
  <c r="D64" i="2"/>
  <c r="D65" i="2" l="1"/>
  <c r="C66" i="2"/>
  <c r="P27" i="2"/>
  <c r="B32" i="2"/>
  <c r="D31" i="2"/>
  <c r="I102" i="2"/>
  <c r="B70" i="2"/>
  <c r="F30" i="2"/>
  <c r="E30" i="2"/>
  <c r="G103" i="2"/>
  <c r="L30" i="2"/>
  <c r="K30" i="2"/>
  <c r="J30" i="2"/>
  <c r="I30" i="2"/>
  <c r="H30" i="2"/>
  <c r="G30" i="2"/>
  <c r="L60" i="2"/>
  <c r="L64" i="2" s="1"/>
  <c r="H101" i="2"/>
  <c r="N28" i="2"/>
  <c r="P28" i="2" s="1"/>
  <c r="D32" i="2" l="1"/>
  <c r="B33" i="2"/>
  <c r="K31" i="2"/>
  <c r="G104" i="2"/>
  <c r="J31" i="2"/>
  <c r="I31" i="2"/>
  <c r="H31" i="2"/>
  <c r="G31" i="2"/>
  <c r="F31" i="2"/>
  <c r="M31" i="2" s="1"/>
  <c r="H104" i="2" s="1"/>
  <c r="E31" i="2"/>
  <c r="L31" i="2"/>
  <c r="C67" i="2"/>
  <c r="D66" i="2"/>
  <c r="I100" i="2"/>
  <c r="B68" i="2"/>
  <c r="B69" i="2"/>
  <c r="I101" i="2"/>
  <c r="M30" i="2"/>
  <c r="H103" i="2" l="1"/>
  <c r="L61" i="2"/>
  <c r="N30" i="2"/>
  <c r="P30" i="2" s="1"/>
  <c r="D67" i="2"/>
  <c r="C68" i="2"/>
  <c r="L66" i="2" a="1"/>
  <c r="L66" i="2" s="1"/>
  <c r="B34" i="2"/>
  <c r="D33" i="2"/>
  <c r="N31" i="2"/>
  <c r="P31" i="2" s="1"/>
  <c r="F32" i="2"/>
  <c r="M32" i="2" s="1"/>
  <c r="H105" i="2" s="1"/>
  <c r="E32" i="2"/>
  <c r="L32" i="2"/>
  <c r="K32" i="2"/>
  <c r="J32" i="2"/>
  <c r="I32" i="2"/>
  <c r="G105" i="2"/>
  <c r="H32" i="2"/>
  <c r="G32" i="2"/>
  <c r="D34" i="2" l="1"/>
  <c r="B35" i="2"/>
  <c r="I104" i="2"/>
  <c r="B72" i="2"/>
  <c r="K33" i="2"/>
  <c r="J33" i="2"/>
  <c r="I33" i="2"/>
  <c r="H33" i="2"/>
  <c r="G33" i="2"/>
  <c r="G106" i="2"/>
  <c r="F33" i="2"/>
  <c r="E33" i="2"/>
  <c r="L33" i="2"/>
  <c r="C69" i="2"/>
  <c r="D68" i="2"/>
  <c r="I103" i="2"/>
  <c r="B71" i="2"/>
  <c r="G59" i="2"/>
  <c r="H59" i="2" s="1"/>
  <c r="L62" i="2"/>
  <c r="N32" i="2"/>
  <c r="P32" i="2" s="1"/>
  <c r="D69" i="2" l="1"/>
  <c r="C70" i="2"/>
  <c r="B73" i="2"/>
  <c r="I105" i="2"/>
  <c r="M33" i="2"/>
  <c r="B36" i="2"/>
  <c r="D35" i="2"/>
  <c r="L65" i="2"/>
  <c r="N62" i="2" s="1"/>
  <c r="P62" i="2" s="1"/>
  <c r="L63" i="2"/>
  <c r="F34" i="2"/>
  <c r="E34" i="2"/>
  <c r="G107" i="2"/>
  <c r="L34" i="2"/>
  <c r="K34" i="2"/>
  <c r="J34" i="2"/>
  <c r="I34" i="2"/>
  <c r="H34" i="2"/>
  <c r="G34" i="2"/>
  <c r="K35" i="2" l="1"/>
  <c r="J35" i="2"/>
  <c r="I35" i="2"/>
  <c r="H35" i="2"/>
  <c r="G35" i="2"/>
  <c r="F35" i="2"/>
  <c r="E35" i="2"/>
  <c r="G108" i="2"/>
  <c r="L35" i="2"/>
  <c r="D36" i="2"/>
  <c r="B37" i="2"/>
  <c r="C71" i="2"/>
  <c r="D70" i="2"/>
  <c r="K71" i="2"/>
  <c r="K70" i="2"/>
  <c r="K69" i="2"/>
  <c r="K73" i="2"/>
  <c r="K72" i="2"/>
  <c r="K75" i="2"/>
  <c r="K74" i="2"/>
  <c r="K76" i="2"/>
  <c r="K79" i="2"/>
  <c r="K78" i="2"/>
  <c r="K77" i="2"/>
  <c r="K80" i="2"/>
  <c r="H106" i="2"/>
  <c r="N33" i="2"/>
  <c r="P33" i="2" s="1"/>
  <c r="M34" i="2"/>
  <c r="D71" i="2" l="1"/>
  <c r="C72" i="2"/>
  <c r="M35" i="2"/>
  <c r="B38" i="2"/>
  <c r="D37" i="2"/>
  <c r="H107" i="2"/>
  <c r="N34" i="2"/>
  <c r="P34" i="2" s="1"/>
  <c r="B74" i="2"/>
  <c r="I106" i="2"/>
  <c r="F36" i="2"/>
  <c r="E36" i="2"/>
  <c r="L36" i="2"/>
  <c r="K36" i="2"/>
  <c r="G109" i="2"/>
  <c r="J36" i="2"/>
  <c r="I36" i="2"/>
  <c r="H36" i="2"/>
  <c r="G36" i="2"/>
  <c r="I107" i="2" l="1"/>
  <c r="B75" i="2"/>
  <c r="K37" i="2"/>
  <c r="J37" i="2"/>
  <c r="I37" i="2"/>
  <c r="G110" i="2"/>
  <c r="H37" i="2"/>
  <c r="G37" i="2"/>
  <c r="F37" i="2"/>
  <c r="M37" i="2" s="1"/>
  <c r="H110" i="2" s="1"/>
  <c r="E37" i="2"/>
  <c r="L37" i="2"/>
  <c r="C73" i="2"/>
  <c r="D72" i="2"/>
  <c r="D38" i="2"/>
  <c r="B39" i="2"/>
  <c r="H108" i="2"/>
  <c r="N35" i="2"/>
  <c r="P35" i="2" s="1"/>
  <c r="M36" i="2"/>
  <c r="H109" i="2" l="1"/>
  <c r="N36" i="2"/>
  <c r="P36" i="2" s="1"/>
  <c r="B76" i="2"/>
  <c r="I108" i="2"/>
  <c r="B40" i="2"/>
  <c r="D39" i="2"/>
  <c r="G111" i="2"/>
  <c r="F38" i="2"/>
  <c r="M38" i="2" s="1"/>
  <c r="H111" i="2" s="1"/>
  <c r="E38" i="2"/>
  <c r="L38" i="2"/>
  <c r="K38" i="2"/>
  <c r="J38" i="2"/>
  <c r="I38" i="2"/>
  <c r="H38" i="2"/>
  <c r="G38" i="2"/>
  <c r="C74" i="2"/>
  <c r="D73" i="2"/>
  <c r="N37" i="2"/>
  <c r="P37" i="2" s="1"/>
  <c r="I110" i="2" l="1"/>
  <c r="B78" i="2"/>
  <c r="D40" i="2"/>
  <c r="B41" i="2"/>
  <c r="C75" i="2"/>
  <c r="D74" i="2"/>
  <c r="K39" i="2"/>
  <c r="J39" i="2"/>
  <c r="I39" i="2"/>
  <c r="H39" i="2"/>
  <c r="G39" i="2"/>
  <c r="F39" i="2"/>
  <c r="E39" i="2"/>
  <c r="G112" i="2"/>
  <c r="L39" i="2"/>
  <c r="I109" i="2"/>
  <c r="B77" i="2"/>
  <c r="N38" i="2"/>
  <c r="P38" i="2" s="1"/>
  <c r="B79" i="2" l="1"/>
  <c r="I111" i="2"/>
  <c r="B42" i="2"/>
  <c r="D41" i="2"/>
  <c r="C76" i="2"/>
  <c r="D75" i="2"/>
  <c r="F40" i="2"/>
  <c r="M40" i="2" s="1"/>
  <c r="H113" i="2" s="1"/>
  <c r="E40" i="2"/>
  <c r="N40" i="2"/>
  <c r="P40" i="2" s="1"/>
  <c r="G113" i="2"/>
  <c r="L40" i="2"/>
  <c r="K40" i="2"/>
  <c r="J40" i="2"/>
  <c r="I40" i="2"/>
  <c r="H40" i="2"/>
  <c r="G40" i="2"/>
  <c r="M39" i="2"/>
  <c r="I113" i="2" l="1"/>
  <c r="B81" i="2"/>
  <c r="H112" i="2"/>
  <c r="N39" i="2"/>
  <c r="P39" i="2" s="1"/>
  <c r="D76" i="2"/>
  <c r="C77" i="2"/>
  <c r="K41" i="2"/>
  <c r="G114" i="2"/>
  <c r="J41" i="2"/>
  <c r="I41" i="2"/>
  <c r="H41" i="2"/>
  <c r="G41" i="2"/>
  <c r="F41" i="2"/>
  <c r="E41" i="2"/>
  <c r="L41" i="2"/>
  <c r="D42" i="2"/>
  <c r="B43" i="2"/>
  <c r="B44" i="2" l="1"/>
  <c r="D43" i="2"/>
  <c r="F42" i="2"/>
  <c r="E42" i="2"/>
  <c r="L42" i="2"/>
  <c r="K42" i="2"/>
  <c r="J42" i="2"/>
  <c r="I42" i="2"/>
  <c r="G115" i="2"/>
  <c r="H42" i="2"/>
  <c r="G42" i="2"/>
  <c r="C78" i="2"/>
  <c r="D77" i="2"/>
  <c r="I112" i="2"/>
  <c r="B80" i="2"/>
  <c r="M41" i="2"/>
  <c r="H114" i="2" l="1"/>
  <c r="N41" i="2"/>
  <c r="P41" i="2" s="1"/>
  <c r="C79" i="2"/>
  <c r="D78" i="2"/>
  <c r="M42" i="2"/>
  <c r="K43" i="2"/>
  <c r="J43" i="2"/>
  <c r="I43" i="2"/>
  <c r="H43" i="2"/>
  <c r="G43" i="2"/>
  <c r="G116" i="2"/>
  <c r="F43" i="2"/>
  <c r="E43" i="2"/>
  <c r="L43" i="2"/>
  <c r="D44" i="2"/>
  <c r="B45" i="2"/>
  <c r="B46" i="2" l="1"/>
  <c r="D45" i="2"/>
  <c r="I114" i="2"/>
  <c r="B82" i="2"/>
  <c r="F44" i="2"/>
  <c r="E44" i="2"/>
  <c r="G117" i="2"/>
  <c r="L44" i="2"/>
  <c r="K44" i="2"/>
  <c r="J44" i="2"/>
  <c r="I44" i="2"/>
  <c r="H44" i="2"/>
  <c r="G44" i="2"/>
  <c r="H115" i="2"/>
  <c r="N42" i="2"/>
  <c r="P42" i="2" s="1"/>
  <c r="C80" i="2"/>
  <c r="D79" i="2"/>
  <c r="M43" i="2"/>
  <c r="H116" i="2" l="1"/>
  <c r="N43" i="2"/>
  <c r="P43" i="2" s="1"/>
  <c r="I115" i="2"/>
  <c r="B83" i="2"/>
  <c r="G60" i="2"/>
  <c r="H60" i="2" s="1"/>
  <c r="K45" i="2"/>
  <c r="J45" i="2"/>
  <c r="I45" i="2"/>
  <c r="H45" i="2"/>
  <c r="G45" i="2"/>
  <c r="F45" i="2"/>
  <c r="E45" i="2"/>
  <c r="G118" i="2"/>
  <c r="L45" i="2"/>
  <c r="C81" i="2"/>
  <c r="D80" i="2"/>
  <c r="M44" i="2"/>
  <c r="D46" i="2"/>
  <c r="B47" i="2"/>
  <c r="F46" i="2" l="1"/>
  <c r="E46" i="2"/>
  <c r="L46" i="2"/>
  <c r="K46" i="2"/>
  <c r="G119" i="2"/>
  <c r="J46" i="2"/>
  <c r="I46" i="2"/>
  <c r="H46" i="2"/>
  <c r="G46" i="2"/>
  <c r="B48" i="2"/>
  <c r="D47" i="2"/>
  <c r="H117" i="2"/>
  <c r="N44" i="2"/>
  <c r="P44" i="2" s="1"/>
  <c r="D81" i="2"/>
  <c r="C82" i="2"/>
  <c r="I116" i="2"/>
  <c r="B84" i="2"/>
  <c r="M45" i="2"/>
  <c r="C83" i="2" l="1"/>
  <c r="D82" i="2"/>
  <c r="I117" i="2"/>
  <c r="B85" i="2"/>
  <c r="K47" i="2"/>
  <c r="J47" i="2"/>
  <c r="I47" i="2"/>
  <c r="G120" i="2"/>
  <c r="H47" i="2"/>
  <c r="G47" i="2"/>
  <c r="F47" i="2"/>
  <c r="E47" i="2"/>
  <c r="L47" i="2"/>
  <c r="D48" i="2"/>
  <c r="B49" i="2"/>
  <c r="H118" i="2"/>
  <c r="N45" i="2"/>
  <c r="P45" i="2" s="1"/>
  <c r="M46" i="2"/>
  <c r="I118" i="2" l="1"/>
  <c r="B86" i="2"/>
  <c r="G121" i="2"/>
  <c r="F48" i="2"/>
  <c r="E48" i="2"/>
  <c r="L48" i="2"/>
  <c r="K48" i="2"/>
  <c r="J48" i="2"/>
  <c r="I48" i="2"/>
  <c r="H48" i="2"/>
  <c r="G48" i="2"/>
  <c r="H119" i="2"/>
  <c r="N46" i="2"/>
  <c r="P46" i="2" s="1"/>
  <c r="B50" i="2"/>
  <c r="D49" i="2"/>
  <c r="M47" i="2"/>
  <c r="C84" i="2"/>
  <c r="D83" i="2"/>
  <c r="D84" i="2" l="1"/>
  <c r="C85" i="2"/>
  <c r="M48" i="2"/>
  <c r="H120" i="2"/>
  <c r="N47" i="2"/>
  <c r="P47" i="2" s="1"/>
  <c r="K49" i="2"/>
  <c r="J49" i="2"/>
  <c r="I49" i="2"/>
  <c r="H49" i="2"/>
  <c r="G49" i="2"/>
  <c r="F49" i="2"/>
  <c r="E49" i="2"/>
  <c r="G122" i="2"/>
  <c r="L49" i="2"/>
  <c r="D50" i="2"/>
  <c r="B51" i="2"/>
  <c r="I119" i="2"/>
  <c r="B87" i="2"/>
  <c r="I120" i="2" l="1"/>
  <c r="B88" i="2"/>
  <c r="C86" i="2"/>
  <c r="D85" i="2"/>
  <c r="B52" i="2"/>
  <c r="D51" i="2"/>
  <c r="F50" i="2"/>
  <c r="M50" i="2" s="1"/>
  <c r="H123" i="2" s="1"/>
  <c r="E50" i="2"/>
  <c r="N50" i="2"/>
  <c r="P50" i="2" s="1"/>
  <c r="G123" i="2"/>
  <c r="L50" i="2"/>
  <c r="K50" i="2"/>
  <c r="J50" i="2"/>
  <c r="I50" i="2"/>
  <c r="H50" i="2"/>
  <c r="G50" i="2"/>
  <c r="H121" i="2"/>
  <c r="N48" i="2"/>
  <c r="P48" i="2" s="1"/>
  <c r="M49" i="2"/>
  <c r="I123" i="2" l="1"/>
  <c r="B91" i="2"/>
  <c r="D52" i="2"/>
  <c r="B53" i="2"/>
  <c r="H122" i="2"/>
  <c r="N49" i="2"/>
  <c r="P49" i="2" s="1"/>
  <c r="I121" i="2"/>
  <c r="B89" i="2"/>
  <c r="K51" i="2"/>
  <c r="G124" i="2"/>
  <c r="J51" i="2"/>
  <c r="I51" i="2"/>
  <c r="H51" i="2"/>
  <c r="G51" i="2"/>
  <c r="F51" i="2"/>
  <c r="E51" i="2"/>
  <c r="L51" i="2"/>
  <c r="C87" i="2"/>
  <c r="D86" i="2"/>
  <c r="C88" i="2" l="1"/>
  <c r="D87" i="2"/>
  <c r="M51" i="2"/>
  <c r="F52" i="2"/>
  <c r="E52" i="2"/>
  <c r="L52" i="2"/>
  <c r="K52" i="2"/>
  <c r="J52" i="2"/>
  <c r="I52" i="2"/>
  <c r="G125" i="2"/>
  <c r="H52" i="2"/>
  <c r="G52" i="2"/>
  <c r="I122" i="2"/>
  <c r="B90" i="2"/>
  <c r="B54" i="2"/>
  <c r="D53" i="2"/>
  <c r="M52" i="2" l="1"/>
  <c r="H124" i="2"/>
  <c r="N51" i="2"/>
  <c r="P51" i="2" s="1"/>
  <c r="K53" i="2"/>
  <c r="J53" i="2"/>
  <c r="I53" i="2"/>
  <c r="H53" i="2"/>
  <c r="G53" i="2"/>
  <c r="G126" i="2"/>
  <c r="F53" i="2"/>
  <c r="M53" i="2" s="1"/>
  <c r="H126" i="2" s="1"/>
  <c r="E53" i="2"/>
  <c r="L53" i="2"/>
  <c r="D54" i="2"/>
  <c r="B55" i="2"/>
  <c r="C89" i="2"/>
  <c r="D88" i="2"/>
  <c r="C90" i="2" l="1"/>
  <c r="D89" i="2"/>
  <c r="F54" i="2"/>
  <c r="E54" i="2"/>
  <c r="G127" i="2"/>
  <c r="L54" i="2"/>
  <c r="L55" i="2" s="1"/>
  <c r="K54" i="2"/>
  <c r="K55" i="2" s="1"/>
  <c r="E55" i="2"/>
  <c r="J54" i="2"/>
  <c r="J55" i="2" s="1"/>
  <c r="I54" i="2"/>
  <c r="I55" i="2" s="1"/>
  <c r="H54" i="2"/>
  <c r="H55" i="2" s="1"/>
  <c r="G54" i="2"/>
  <c r="G55" i="2" s="1"/>
  <c r="D55" i="2"/>
  <c r="H65" i="2" s="1"/>
  <c r="I124" i="2"/>
  <c r="B92" i="2"/>
  <c r="N53" i="2"/>
  <c r="P53" i="2" s="1"/>
  <c r="H125" i="2"/>
  <c r="N52" i="2"/>
  <c r="P52" i="2" s="1"/>
  <c r="I126" i="2" l="1"/>
  <c r="B94" i="2"/>
  <c r="M54" i="2"/>
  <c r="F55" i="2"/>
  <c r="B93" i="2"/>
  <c r="I125" i="2"/>
  <c r="C91" i="2"/>
  <c r="D90" i="2"/>
  <c r="D91" i="2" l="1"/>
  <c r="C92" i="2"/>
  <c r="H127" i="2"/>
  <c r="M55" i="2"/>
  <c r="N54" i="2"/>
  <c r="P54" i="2" l="1"/>
  <c r="N55" i="2"/>
  <c r="C93" i="2"/>
  <c r="D92" i="2"/>
  <c r="D93" i="2" l="1"/>
  <c r="C94" i="2"/>
  <c r="I127" i="2"/>
  <c r="B95" i="2"/>
  <c r="P55" i="2"/>
  <c r="G61" i="2"/>
  <c r="H61" i="2" s="1"/>
  <c r="H69" i="2" l="1"/>
  <c r="H68" i="2"/>
  <c r="H66" i="2"/>
  <c r="H67" i="2"/>
  <c r="C95" i="2"/>
  <c r="D94" i="2"/>
  <c r="D95" i="2" l="1"/>
  <c r="H71" i="2" a="1"/>
  <c r="H71" i="2" s="1"/>
</calcChain>
</file>

<file path=xl/sharedStrings.xml><?xml version="1.0" encoding="utf-8"?>
<sst xmlns="http://schemas.openxmlformats.org/spreadsheetml/2006/main" count="218" uniqueCount="198">
  <si>
    <t>BẢNG KẾ HOẠCH ĐẦU TƯ MỞ CỬa HÀNG F&amp;B</t>
  </si>
  <si>
    <t>🏠 TRANG CHỦ</t>
  </si>
  <si>
    <t>TỔNG VỐN ĐẦU TƯ</t>
  </si>
  <si>
    <t>Khấu hao/tháng:</t>
  </si>
  <si>
    <t>STT</t>
  </si>
  <si>
    <t>HẠNG MỤC ĐẦU TƯ</t>
  </si>
  <si>
    <t>PHÂN LOẠI</t>
  </si>
  <si>
    <t>TỶ LỆ</t>
  </si>
  <si>
    <t>GIÁ THÀNH (₫)</t>
  </si>
  <si>
    <t>THỜI GIAN KH (tháng)</t>
  </si>
  <si>
    <t>KHẤU HAO/THÁNG (₫)</t>
  </si>
  <si>
    <t>✂ CẮT GIẢM NẾU LỖ</t>
  </si>
  <si>
    <t>I</t>
  </si>
  <si>
    <t>CHI PHÍ MẶT BẰNG</t>
  </si>
  <si>
    <t>Đặt cọc mặt bằng</t>
  </si>
  <si>
    <t>1 lần</t>
  </si>
  <si>
    <t>Thương lượng giảm 50%</t>
  </si>
  <si>
    <t>Tiền nhà tháng đầu</t>
  </si>
  <si>
    <t>Tìm vị trí rẻ hơn</t>
  </si>
  <si>
    <t>Lắp đặt Wifi</t>
  </si>
  <si>
    <t>TSCĐ</t>
  </si>
  <si>
    <t>Chi phí thành lập doanh nghiệp</t>
  </si>
  <si>
    <t>II</t>
  </si>
  <si>
    <t>CHI PHÍ IN ẤN &amp; ĐỒNG PHỤC</t>
  </si>
  <si>
    <t>Đồng phục nhân viên</t>
  </si>
  <si>
    <t>Giảm số lượng, dùng đơn giản</t>
  </si>
  <si>
    <t>Bao bì sản phẩm (PET-PP)</t>
  </si>
  <si>
    <t>Mua sỉ giá rẻ hơn</t>
  </si>
  <si>
    <t>III</t>
  </si>
  <si>
    <t>CHI PHÍ NGUYÊN LIỆU</t>
  </si>
  <si>
    <t>Nhập kho đầu kỳ nguyên liệu</t>
  </si>
  <si>
    <t>Giảm 50%, nhập vừa đủ</t>
  </si>
  <si>
    <t>IV</t>
  </si>
  <si>
    <t>CHI PHÍ THI CÔNG CƠ SỞ VẬT CHẤT (⭐ LỚN NHẤT)</t>
  </si>
  <si>
    <t>Bảng hiệu</t>
  </si>
  <si>
    <t>Dùng bảng đơn giản hơn</t>
  </si>
  <si>
    <t>Tường (thi công, sơn)</t>
  </si>
  <si>
    <t>Sơn đơn giản, không trang trí</t>
  </si>
  <si>
    <t>Trần (thi công, đèn)</t>
  </si>
  <si>
    <t>✂ Giảm 50% = 25 triệu</t>
  </si>
  <si>
    <t>Sàn nhà</t>
  </si>
  <si>
    <t>Dùng sàn cũ nếu được</t>
  </si>
  <si>
    <t>Bàn ghế</t>
  </si>
  <si>
    <t>✂ Mua 2nd-hand = 15 triệu</t>
  </si>
  <si>
    <t>Quầy bar</t>
  </si>
  <si>
    <t>✂ Giảm 30% = 42 triệu</t>
  </si>
  <si>
    <t>Máy móc thiết bị</t>
  </si>
  <si>
    <t>✂ Mua 2nd-hand = 40 triệu</t>
  </si>
  <si>
    <t>Dụng cụ pha chế</t>
  </si>
  <si>
    <t>Giảm bớt không cần thiết</t>
  </si>
  <si>
    <t>V</t>
  </si>
  <si>
    <t>CHI PHÍ MARKETING BAN ĐẦU</t>
  </si>
  <si>
    <t>Chạy quảng cáo khai trương</t>
  </si>
  <si>
    <t>Giảm, tập trung organic</t>
  </si>
  <si>
    <t>VI</t>
  </si>
  <si>
    <t>CHI PHÍ TUYỂN DỤNG &amp; ĐÀO TẠO</t>
  </si>
  <si>
    <t>Tuyển dụng + đào tạo nhân viên</t>
  </si>
  <si>
    <t>TỔNG CỘNG</t>
  </si>
  <si>
    <t>PHÂN TÍCH CƠ CẤU ĐẦU TƯ</t>
  </si>
  <si>
    <t>TỶ TRỌNG</t>
  </si>
  <si>
    <t>GIÁ TRỊ</t>
  </si>
  <si>
    <t>KHẤU HAO/THÁNG</t>
  </si>
  <si>
    <t>GHI CHÚ</t>
  </si>
  <si>
    <t>A</t>
  </si>
  <si>
    <t>Tài sản cố định (TSCĐ) - CÓ khấu hao</t>
  </si>
  <si>
    <t>Tạo khấu hao hàng tháng</t>
  </si>
  <si>
    <t>B</t>
  </si>
  <si>
    <t>Chi phí 1 lần - KHÔNG khấu hao</t>
  </si>
  <si>
    <t>-</t>
  </si>
  <si>
    <t>Không ảnh hưởng LN hàng tháng</t>
  </si>
  <si>
    <t>→ Muốn CÓ LÃI: Giảm TSCĐ để khấu hao &lt; LN gộp hàng tháng</t>
  </si>
  <si>
    <t>KẾ HOẠCH DÒNG TIỀN MỞ QUÁN F&amp;B - 12 THÁNG</t>
  </si>
  <si>
    <t>ĐỊA ĐIỂM: CHỖ TÔI YÊU THÍCH  |  LOẠI HÌNH: QUÁN TRÀ &amp; ĂN VẶT  |  ĐẠI LÝ: 01</t>
  </si>
  <si>
    <t>① GIẢ ĐỊNH &amp; THÔNG SỐ ĐẦU VÀO</t>
  </si>
  <si>
    <t>THÔNG SỐ</t>
  </si>
  <si>
    <t>THÔNG SỐ CHI PHÍ</t>
  </si>
  <si>
    <t>TỶ LỆ / DT</t>
  </si>
  <si>
    <t>Tổng vốn đầu tư ban đầu</t>
  </si>
  <si>
    <t>Giá vốn hàng bán (COGS)</t>
  </si>
  <si>
    <t>Giá bán TB - Nước uống (₫/ly)</t>
  </si>
  <si>
    <t>Chi phí nhân sự (Lương SX+KD+BO+VC)</t>
  </si>
  <si>
    <t>Giá bán TB - Ăn vặt (₫/phần)</t>
  </si>
  <si>
    <t>Chi phí mặt bằng &amp; văn phòng</t>
  </si>
  <si>
    <t>Số ly bán/ngày (khởi điểm)</t>
  </si>
  <si>
    <t>Chi phí điện nước, VPP, internet</t>
  </si>
  <si>
    <t>Số phần ăn vặt/ngày (khởi điểm)</t>
  </si>
  <si>
    <t>Chi phí marketing &amp; truyền thông</t>
  </si>
  <si>
    <t>Tỷ lệ tăng trưởng DS/tháng</t>
  </si>
  <si>
    <t>Chi phí vận chuyển</t>
  </si>
  <si>
    <t>Số ngày hoạt động/tháng</t>
  </si>
  <si>
    <t>Chi phí phát sinh &amp; rủi ro</t>
  </si>
  <si>
    <t>Khấu hao TSCĐ/tháng (từ ĐT)</t>
  </si>
  <si>
    <t>TỔNG TỶ LỆ CHI PHÍ / DOANH THU</t>
  </si>
  <si>
    <t>Tỷ lệ tăng trưởng Ăn vặt/tháng</t>
  </si>
  <si>
    <t>→ Biên lợi nhuận mục tiêu (trước khấu hao)</t>
  </si>
  <si>
    <t>② DOANH THU  |  ③ CHI PHÍ  |  ④ DÒNG TIỀN &amp; LỢI NHUẬN 36 THÁNG</t>
  </si>
  <si>
    <t>DOANH THU</t>
  </si>
  <si>
    <t>CHI PHÍ</t>
  </si>
  <si>
    <t>LỢI NHUẬN &amp; DÒNG TIỀN</t>
  </si>
  <si>
    <t>Tháng</t>
  </si>
  <si>
    <t>DT Nước uống</t>
  </si>
  <si>
    <t>DT Ăn vặt</t>
  </si>
  <si>
    <t>TỔNG DOANH THU</t>
  </si>
  <si>
    <t>Tăng trưởng</t>
  </si>
  <si>
    <t>Giá vốn (COGS)</t>
  </si>
  <si>
    <t>Nhân sự</t>
  </si>
  <si>
    <t>Mặt bằng</t>
  </si>
  <si>
    <t>Điện/Nước</t>
  </si>
  <si>
    <t>Marketing</t>
  </si>
  <si>
    <t>Vận chuyển</t>
  </si>
  <si>
    <t>Phát sinh</t>
  </si>
  <si>
    <t>TỔNG CHI PHÍ</t>
  </si>
  <si>
    <t>LN trước KH</t>
  </si>
  <si>
    <t>Khấu hao</t>
  </si>
  <si>
    <t>LN RÒNG</t>
  </si>
  <si>
    <t>TỔNG 36T</t>
  </si>
  <si>
    <t>⑤ DÒNG TIỀN LŨY KẾ 36 THÁNG &amp; ĐIỂM HÒA VỐN (BREAK-EVEN)</t>
  </si>
  <si>
    <t>LN ròng/tháng</t>
  </si>
  <si>
    <t>Dòng tiền lũy kế</t>
  </si>
  <si>
    <t>Trạng thái</t>
  </si>
  <si>
    <t>NĂM</t>
  </si>
  <si>
    <t>LN RÒNG/NĂM</t>
  </si>
  <si>
    <t>LŨY KẾ</t>
  </si>
  <si>
    <t>⑥ CẢNH BÁO RỦI RO 12 THÁNG ĐẦU KHỞI NGHIỆP</t>
  </si>
  <si>
    <t>Đầu tư ban đầu</t>
  </si>
  <si>
    <t>⬇ ĐẦU TƯ</t>
  </si>
  <si>
    <t>Năm 1</t>
  </si>
  <si>
    <t>Tổng vốn đầu tư</t>
  </si>
  <si>
    <t>Năm 2</t>
  </si>
  <si>
    <t>Tổng doanh thu 12 tháng</t>
  </si>
  <si>
    <t>Năm 3</t>
  </si>
  <si>
    <t>Tổng chi phí 12 tháng</t>
  </si>
  <si>
    <t>Lợi nhuận ròng 12 tháng</t>
  </si>
  <si>
    <t>⑦ DASHBOARD KPI 36 THÁNG</t>
  </si>
  <si>
    <t>Biên LN ròng (Net Margin)</t>
  </si>
  <si>
    <t>Biên LN gộp (Gross Margin)</t>
  </si>
  <si>
    <t>Tổng doanh thu 36 tháng</t>
  </si>
  <si>
    <t>ROI (Lợi nhuận / Vốn đầu tư)</t>
  </si>
  <si>
    <t>Tổng LN ròng 36 tháng</t>
  </si>
  <si>
    <t>12 Tháng hòa vốn (Payback):</t>
  </si>
  <si>
    <t>ROI 36 tháng</t>
  </si>
  <si>
    <t>ĐÁNH GIÁ TÍNH KHẢ THI 12 THÁNG ĐẦU</t>
  </si>
  <si>
    <t>Biên LN ròng TB</t>
  </si>
  <si>
    <t>⚠️ CẢNH BÁO RỦI RO</t>
  </si>
  <si>
    <t>LN ròng TB/tháng</t>
  </si>
  <si>
    <t>Tháng 1</t>
  </si>
  <si>
    <t>ĐIỂM HÒA VỐN (PAYBACK)</t>
  </si>
  <si>
    <t>Tháng 2</t>
  </si>
  <si>
    <t>Tháng hoà vốn:</t>
  </si>
  <si>
    <t>Tháng 3</t>
  </si>
  <si>
    <t>Tháng 4</t>
  </si>
  <si>
    <t>Tháng 5</t>
  </si>
  <si>
    <t>Tháng 6</t>
  </si>
  <si>
    <t>Tháng 7</t>
  </si>
  <si>
    <t>Tháng 8</t>
  </si>
  <si>
    <t>Tháng 9</t>
  </si>
  <si>
    <t>Tháng 10</t>
  </si>
  <si>
    <t>Tháng 11</t>
  </si>
  <si>
    <t>Tháng 12</t>
  </si>
  <si>
    <t>Doanh thu</t>
  </si>
  <si>
    <t>Tổng Chi phí</t>
  </si>
  <si>
    <t>LN Ròng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</si>
  <si>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</si>
  <si>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</si>
  <si>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</si>
  <si>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</si>
  <si>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</si>
  <si>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</si>
  <si>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</si>
  <si>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</si>
  <si>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</si>
  <si>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</si>
  <si>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</si>
  <si>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</si>
  <si>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</si>
  <si>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</si>
  <si>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</si>
  <si>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</si>
  <si>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</si>
  <si>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</si>
  <si>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</si>
  <si>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</si>
  <si>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</si>
  <si>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</si>
  <si>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</si>
  <si>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</si>
  <si>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</si>
  <si>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</si>
  <si>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</si>
  <si>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</si>
  <si>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</si>
  <si>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</si>
  <si>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</si>
  <si>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T32</t>
  </si>
  <si>
    <t>T33</t>
  </si>
  <si>
    <t>T34</t>
  </si>
  <si>
    <t>T35</t>
  </si>
  <si>
    <t>T36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</si>
</sst>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%"/>
    <numFmt numFmtId="165" formatCode="_-* #,##0\ _₫_-;\-* #,##0\ _₫_-;_-* &quot;-&quot;\ _₫_-;_-@_-"/>
    <numFmt numFmtId="166" formatCode="#,##0;\(#,##0\);\-"/>
    <numFmt numFmtId="167" formatCode="_(* #,##0_);_(* \(#,##0\);_(* &quot;-&quot;??_);_(@_)"/>
    <numFmt numFmtId="168" formatCode="_(* #,##0.0_);_(* \(#,##0.0\);_(* &quot;-&quot;?_);_(@_)"/>
  </numFmts>
  <fonts count="3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FFFF"/>
      <name val="Arial"/>
      <family val="2"/>
    </font>
    <font>
      <sz val="10"/>
      <color theme="1" tint="0.14993743705557422"/>
      <name val="Calibri"/>
      <family val="2"/>
      <scheme val="minor"/>
    </font>
    <font>
      <sz val="10"/>
      <color theme="1" tint="0.14999847407452621"/>
      <name val="Arial"/>
      <family val="2"/>
    </font>
    <font>
      <b/>
      <sz val="11"/>
      <color rgb="FFFFFFFF"/>
      <name val="Calibri"/>
      <family val="2"/>
    </font>
    <font>
      <sz val="10"/>
      <color theme="1"/>
      <name val="Arial"/>
      <family val="2"/>
    </font>
    <font>
      <b/>
      <sz val="12"/>
      <color rgb="FF1B3A5C"/>
      <name val="Arial"/>
      <family val="2"/>
    </font>
    <font>
      <b/>
      <sz val="14"/>
      <color rgb="FFC00000"/>
      <name val="Arial"/>
      <family val="2"/>
    </font>
    <font>
      <b/>
      <sz val="9"/>
      <color rgb="FF1B3A5C"/>
      <name val="Arial"/>
      <family val="2"/>
    </font>
    <font>
      <b/>
      <sz val="11"/>
      <color rgb="FFC00000"/>
      <name val="Arial"/>
      <family val="2"/>
    </font>
    <font>
      <b/>
      <sz val="8"/>
      <color rgb="FFFFFFFF"/>
      <name val="Arial"/>
      <family val="2"/>
    </font>
    <font>
      <sz val="10"/>
      <color theme="4"/>
      <name val="Arial"/>
      <family val="2"/>
    </font>
    <font>
      <b/>
      <sz val="9"/>
      <color rgb="FFFFFFFF"/>
      <name val="Arial"/>
      <family val="2"/>
    </font>
    <font>
      <b/>
      <sz val="10"/>
      <color theme="1" tint="0.14999847407452621"/>
      <name val="Arial"/>
      <family val="2"/>
    </font>
    <font>
      <sz val="9"/>
      <color rgb="FF1B3A5C"/>
      <name val="Arial"/>
      <family val="2"/>
    </font>
    <font>
      <sz val="8"/>
      <color rgb="FF808080"/>
      <name val="Arial"/>
      <family val="2"/>
    </font>
    <font>
      <sz val="9"/>
      <color rgb="FF0000FF"/>
      <name val="Arial"/>
      <family val="2"/>
    </font>
    <font>
      <sz val="9"/>
      <color rgb="FF000000"/>
      <name val="Arial"/>
      <family val="2"/>
    </font>
    <font>
      <sz val="9"/>
      <color rgb="FF808080"/>
      <name val="Arial"/>
      <family val="2"/>
    </font>
    <font>
      <i/>
      <sz val="8"/>
      <color rgb="FFFF6600"/>
      <name val="Arial"/>
      <family val="2"/>
    </font>
    <font>
      <b/>
      <sz val="8"/>
      <color rgb="FF2E75B6"/>
      <name val="Arial"/>
      <family val="2"/>
    </font>
    <font>
      <b/>
      <sz val="8"/>
      <color rgb="FFC00000"/>
      <name val="Arial"/>
      <family val="2"/>
    </font>
    <font>
      <b/>
      <sz val="10"/>
      <color rgb="FFFFFFFF"/>
      <name val="Arial"/>
      <family val="2"/>
    </font>
    <font>
      <b/>
      <sz val="9"/>
      <color rgb="FF2E75B6"/>
      <name val="Arial"/>
      <family val="2"/>
    </font>
    <font>
      <b/>
      <sz val="9"/>
      <color rgb="FFC00000"/>
      <name val="Arial"/>
      <family val="2"/>
    </font>
    <font>
      <i/>
      <sz val="8"/>
      <color rgb="FF808080"/>
      <name val="Arial"/>
      <family val="2"/>
    </font>
    <font>
      <b/>
      <sz val="9"/>
      <color rgb="FF008000"/>
      <name val="Arial"/>
      <family val="2"/>
    </font>
    <font>
      <sz val="10"/>
      <color rgb="FF3F3F3F"/>
      <name val="Arial"/>
      <family val="2"/>
    </font>
    <font>
      <b/>
      <sz val="11"/>
      <color rgb="FFFFFFFF"/>
      <name val="Arial"/>
      <family val="2"/>
    </font>
    <font>
      <sz val="9"/>
      <color rgb="FF008000"/>
      <name val="Arial"/>
      <family val="2"/>
    </font>
    <font>
      <sz val="9"/>
      <color rgb="FFC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2E75B6"/>
      <name val="Arial"/>
      <family val="2"/>
    </font>
    <font>
      <b/>
      <sz val="10"/>
      <color theme="0"/>
      <name val="Calibri"/>
      <family val="2"/>
      <scheme val="minor"/>
    </font>
    <font>
      <i/>
      <sz val="8"/>
      <color rgb="FFC00000"/>
      <name val="Arial"/>
      <family val="2"/>
    </font>
    <font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rgb="FF1B3A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B365D"/>
        <bgColor rgb="FF1B365D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2F7FB"/>
        <bgColor indexed="64"/>
      </patternFill>
    </fill>
    <fill>
      <patternFill patternType="solid">
        <fgColor rgb="FFFFF8F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F2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8B0000"/>
        <bgColor indexed="64"/>
      </patternFill>
    </fill>
    <fill>
      <patternFill patternType="solid">
        <fgColor rgb="FF0055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700"/>
        <bgColor indexed="64"/>
      </patternFill>
    </fill>
  </fills>
  <borders count="57">
    <border>
      <left/>
      <right/>
      <top/>
      <bottom/>
      <diagonal/>
    </border>
    <border>
      <left style="thin">
        <color rgb="FFAED6F1"/>
      </left>
      <right/>
      <top style="thin">
        <color rgb="FFAED6F1"/>
      </top>
      <bottom style="medium">
        <color rgb="FF071321"/>
      </bottom>
      <diagonal/>
    </border>
    <border>
      <left/>
      <right style="medium">
        <color rgb="FF071321"/>
      </right>
      <top style="thin">
        <color rgb="FFAED6F1"/>
      </top>
      <bottom style="medium">
        <color rgb="FF071321"/>
      </bottom>
      <diagonal/>
    </border>
    <border>
      <left style="thin">
        <color auto="1"/>
      </left>
      <right style="thin">
        <color rgb="FFD9E2F3"/>
      </right>
      <top style="thin">
        <color auto="1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auto="1"/>
      </top>
      <bottom style="thin">
        <color rgb="FFD9E2F3"/>
      </bottom>
      <diagonal/>
    </border>
    <border>
      <left style="thin">
        <color rgb="FFD9E2F3"/>
      </left>
      <right style="thin">
        <color auto="1"/>
      </right>
      <top style="thin">
        <color auto="1"/>
      </top>
      <bottom style="thin">
        <color rgb="FFD9E2F3"/>
      </bottom>
      <diagonal/>
    </border>
    <border>
      <left style="thin">
        <color auto="1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auto="1"/>
      </right>
      <top style="thin">
        <color rgb="FFD9E2F3"/>
      </top>
      <bottom style="thin">
        <color rgb="FFD9E2F3"/>
      </bottom>
      <diagonal/>
    </border>
    <border>
      <left style="thin">
        <color auto="1"/>
      </left>
      <right style="thin">
        <color rgb="FFD9E2F3"/>
      </right>
      <top style="thin">
        <color rgb="FFD9E2F3"/>
      </top>
      <bottom style="thin">
        <color auto="1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auto="1"/>
      </bottom>
      <diagonal/>
    </border>
    <border>
      <left style="thin">
        <color rgb="FFD9E2F3"/>
      </left>
      <right style="thin">
        <color auto="1"/>
      </right>
      <top style="thin">
        <color rgb="FFD9E2F3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D9E2F3"/>
      </bottom>
      <diagonal/>
    </border>
    <border>
      <left/>
      <right/>
      <top style="thin">
        <color auto="1"/>
      </top>
      <bottom style="thin">
        <color rgb="FFD9E2F3"/>
      </bottom>
      <diagonal/>
    </border>
    <border>
      <left/>
      <right style="thin">
        <color auto="1"/>
      </right>
      <top style="thin">
        <color auto="1"/>
      </top>
      <bottom style="thin">
        <color rgb="FFD9E2F3"/>
      </bottom>
      <diagonal/>
    </border>
    <border>
      <left style="thin">
        <color auto="1"/>
      </left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auto="1"/>
      </right>
      <top style="thin">
        <color rgb="FFD9E2F3"/>
      </top>
      <bottom style="thin">
        <color rgb="FFD9E2F3"/>
      </bottom>
      <diagonal/>
    </border>
    <border>
      <left style="thin">
        <color auto="1"/>
      </left>
      <right/>
      <top style="thin">
        <color rgb="FFD9E2F3"/>
      </top>
      <bottom style="medium">
        <color auto="1"/>
      </bottom>
      <diagonal/>
    </border>
    <border>
      <left/>
      <right style="thin">
        <color auto="1"/>
      </right>
      <top style="thin">
        <color rgb="FFD9E2F3"/>
      </top>
      <bottom style="medium">
        <color auto="1"/>
      </bottom>
      <diagonal/>
    </border>
    <border>
      <left/>
      <right/>
      <top style="thin">
        <color rgb="FFD9E2F3"/>
      </top>
      <bottom style="medium">
        <color auto="1"/>
      </bottom>
      <diagonal/>
    </border>
    <border>
      <left/>
      <right style="thin">
        <color rgb="FF4472C4"/>
      </right>
      <top style="thin">
        <color auto="1"/>
      </top>
      <bottom style="thin">
        <color rgb="FFD9E2F3"/>
      </bottom>
      <diagonal/>
    </border>
    <border>
      <left/>
      <right style="thin">
        <color rgb="FF4472C4"/>
      </right>
      <top style="thin">
        <color rgb="FFD9E2F3"/>
      </top>
      <bottom style="thin">
        <color rgb="FFD9E2F3"/>
      </bottom>
      <diagonal/>
    </border>
    <border>
      <left style="thin">
        <color auto="1"/>
      </left>
      <right/>
      <top style="thin">
        <color rgb="FFD9E2F3"/>
      </top>
      <bottom style="thin">
        <color auto="1"/>
      </bottom>
      <diagonal/>
    </border>
    <border>
      <left/>
      <right/>
      <top style="thin">
        <color rgb="FFD9E2F3"/>
      </top>
      <bottom style="thin">
        <color auto="1"/>
      </bottom>
      <diagonal/>
    </border>
    <border>
      <left/>
      <right style="thin">
        <color rgb="FF4472C4"/>
      </right>
      <top style="thin">
        <color rgb="FFD9E2F3"/>
      </top>
      <bottom style="thin">
        <color auto="1"/>
      </bottom>
      <diagonal/>
    </border>
    <border>
      <left/>
      <right style="thin">
        <color auto="1"/>
      </right>
      <top style="thin">
        <color rgb="FFD9E2F3"/>
      </top>
      <bottom style="thin">
        <color auto="1"/>
      </bottom>
      <diagonal/>
    </border>
    <border>
      <left/>
      <right style="thin">
        <color rgb="FFD9E2F3"/>
      </right>
      <top style="thin">
        <color auto="1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medium">
        <color auto="1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medium">
        <color auto="1"/>
      </bottom>
      <diagonal/>
    </border>
    <border>
      <left style="thin">
        <color rgb="FFD9E2F3"/>
      </left>
      <right/>
      <top style="thin">
        <color rgb="FFD9E2F3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D9E2F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rgb="FFD9E2F3"/>
      </top>
      <bottom style="thin">
        <color rgb="FFD9E2F3"/>
      </bottom>
      <diagonal/>
    </border>
    <border>
      <left style="thin">
        <color auto="1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auto="1"/>
      </right>
      <top style="thin">
        <color rgb="FFD9E2F3"/>
      </top>
      <bottom/>
      <diagonal/>
    </border>
    <border>
      <left style="thin">
        <color auto="1"/>
      </left>
      <right style="thin">
        <color rgb="FFD9E2F3"/>
      </right>
      <top style="medium">
        <color rgb="FF008000"/>
      </top>
      <bottom style="medium">
        <color rgb="FF008000"/>
      </bottom>
      <diagonal/>
    </border>
    <border>
      <left style="thin">
        <color rgb="FFD9E2F3"/>
      </left>
      <right style="thin">
        <color rgb="FFD9E2F3"/>
      </right>
      <top style="medium">
        <color rgb="FF008000"/>
      </top>
      <bottom style="medium">
        <color rgb="FF008000"/>
      </bottom>
      <diagonal/>
    </border>
    <border>
      <left style="thin">
        <color rgb="FFD9E2F3"/>
      </left>
      <right style="thin">
        <color auto="1"/>
      </right>
      <top style="medium">
        <color rgb="FF008000"/>
      </top>
      <bottom style="medium">
        <color rgb="FF008000"/>
      </bottom>
      <diagonal/>
    </border>
    <border>
      <left style="thin">
        <color auto="1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auto="1"/>
      </right>
      <top/>
      <bottom style="thin">
        <color rgb="FFD9E2F3"/>
      </bottom>
      <diagonal/>
    </border>
    <border>
      <left style="thin">
        <color auto="1"/>
      </left>
      <right style="thin">
        <color auto="1"/>
      </right>
      <top style="thin">
        <color rgb="FFD9E2F3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auto="1"/>
      </left>
      <right style="thin">
        <color rgb="FFD9E2F3"/>
      </right>
      <top style="thin">
        <color rgb="FFD9E2F3"/>
      </top>
      <bottom style="medium">
        <color auto="1"/>
      </bottom>
      <diagonal/>
    </border>
    <border>
      <left style="thin">
        <color rgb="FFD9E2F3"/>
      </left>
      <right style="thin">
        <color auto="1"/>
      </right>
      <top style="thin">
        <color rgb="FFD9E2F3"/>
      </top>
      <bottom style="medium">
        <color auto="1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8" fillId="0" borderId="0"/>
    <xf numFmtId="165" fontId="1" fillId="0" borderId="0"/>
    <xf numFmtId="43" fontId="1" fillId="0" borderId="0"/>
  </cellStyleXfs>
  <cellXfs count="231">
    <xf numFmtId="0" fontId="0" fillId="0" borderId="0" xfId="0"/>
    <xf numFmtId="0" fontId="2" fillId="2" borderId="0" xfId="0" applyFont="1" applyFill="1" applyAlignment="1">
      <alignment horizontal="center"/>
    </xf>
    <xf numFmtId="0" fontId="4" fillId="3" borderId="0" xfId="1" applyFont="1" applyFill="1"/>
    <xf numFmtId="0" fontId="4" fillId="3" borderId="0" xfId="1" applyFont="1" applyFill="1" applyAlignment="1">
      <alignment horizontal="right"/>
    </xf>
    <xf numFmtId="0" fontId="5" fillId="4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4" fillId="3" borderId="0" xfId="1" applyFont="1" applyFill="1"/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3" fontId="8" fillId="6" borderId="0" xfId="0" applyNumberFormat="1" applyFont="1" applyFill="1" applyAlignment="1">
      <alignment horizontal="center" vertical="center"/>
    </xf>
    <xf numFmtId="0" fontId="9" fillId="5" borderId="0" xfId="0" applyFont="1" applyFill="1" applyAlignment="1">
      <alignment horizontal="right" vertical="center"/>
    </xf>
    <xf numFmtId="3" fontId="10" fillId="7" borderId="0" xfId="0" applyNumberFormat="1" applyFont="1" applyFill="1" applyAlignment="1">
      <alignment horizontal="center" vertical="center"/>
    </xf>
    <xf numFmtId="0" fontId="11" fillId="8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 wrapText="1"/>
    </xf>
    <xf numFmtId="0" fontId="12" fillId="3" borderId="0" xfId="1" applyFont="1" applyFill="1" applyAlignment="1">
      <alignment wrapText="1"/>
    </xf>
    <xf numFmtId="0" fontId="13" fillId="10" borderId="6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164" fontId="13" fillId="10" borderId="7" xfId="0" applyNumberFormat="1" applyFont="1" applyFill="1" applyBorder="1" applyAlignment="1">
      <alignment horizontal="center" vertical="center"/>
    </xf>
    <xf numFmtId="3" fontId="13" fillId="10" borderId="7" xfId="0" applyNumberFormat="1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14" fillId="3" borderId="0" xfId="1" applyFont="1" applyFill="1"/>
    <xf numFmtId="0" fontId="15" fillId="11" borderId="6" xfId="0" applyFont="1" applyFill="1" applyBorder="1" applyAlignment="1">
      <alignment horizontal="center" vertical="center"/>
    </xf>
    <xf numFmtId="0" fontId="15" fillId="11" borderId="7" xfId="0" applyFont="1" applyFill="1" applyBorder="1" applyAlignment="1">
      <alignment vertical="center"/>
    </xf>
    <xf numFmtId="0" fontId="16" fillId="11" borderId="7" xfId="0" applyFont="1" applyFill="1" applyBorder="1" applyAlignment="1">
      <alignment horizontal="center" vertical="center"/>
    </xf>
    <xf numFmtId="164" fontId="17" fillId="6" borderId="7" xfId="0" applyNumberFormat="1" applyFont="1" applyFill="1" applyBorder="1" applyAlignment="1">
      <alignment horizontal="center" vertical="center"/>
    </xf>
    <xf numFmtId="3" fontId="18" fillId="11" borderId="7" xfId="0" applyNumberFormat="1" applyFont="1" applyFill="1" applyBorder="1" applyAlignment="1">
      <alignment vertical="center"/>
    </xf>
    <xf numFmtId="0" fontId="19" fillId="11" borderId="7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vertical="center"/>
    </xf>
    <xf numFmtId="0" fontId="16" fillId="3" borderId="7" xfId="0" applyFont="1" applyFill="1" applyBorder="1" applyAlignment="1">
      <alignment horizontal="center" vertical="center"/>
    </xf>
    <xf numFmtId="3" fontId="18" fillId="3" borderId="7" xfId="0" applyNumberFormat="1" applyFont="1" applyFill="1" applyBorder="1" applyAlignment="1">
      <alignment vertical="center"/>
    </xf>
    <xf numFmtId="0" fontId="19" fillId="3" borderId="7" xfId="0" applyFont="1" applyFill="1" applyBorder="1" applyAlignment="1">
      <alignment horizontal="center" vertical="center"/>
    </xf>
    <xf numFmtId="0" fontId="21" fillId="11" borderId="7" xfId="0" applyFont="1" applyFill="1" applyBorder="1" applyAlignment="1">
      <alignment horizontal="center" vertical="center"/>
    </xf>
    <xf numFmtId="0" fontId="6" fillId="12" borderId="8" xfId="0" applyFont="1" applyFill="1" applyBorder="1" applyAlignment="1">
      <alignment vertical="center"/>
    </xf>
    <xf numFmtId="0" fontId="21" fillId="3" borderId="7" xfId="0" applyFont="1" applyFill="1" applyBorder="1" applyAlignment="1">
      <alignment horizontal="center" vertical="center"/>
    </xf>
    <xf numFmtId="0" fontId="22" fillId="6" borderId="8" xfId="0" applyFont="1" applyFill="1" applyBorder="1" applyAlignment="1">
      <alignment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164" fontId="17" fillId="6" borderId="10" xfId="0" applyNumberFormat="1" applyFont="1" applyFill="1" applyBorder="1" applyAlignment="1">
      <alignment horizontal="center" vertical="center"/>
    </xf>
    <xf numFmtId="3" fontId="18" fillId="3" borderId="10" xfId="0" applyNumberFormat="1" applyFont="1" applyFill="1" applyBorder="1" applyAlignment="1">
      <alignment vertical="center"/>
    </xf>
    <xf numFmtId="0" fontId="19" fillId="3" borderId="10" xfId="0" applyFont="1" applyFill="1" applyBorder="1" applyAlignment="1">
      <alignment horizontal="center" vertical="center"/>
    </xf>
    <xf numFmtId="0" fontId="6" fillId="12" borderId="1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11" borderId="0" xfId="0" applyFont="1" applyFill="1" applyAlignment="1">
      <alignment vertical="center"/>
    </xf>
    <xf numFmtId="0" fontId="4" fillId="2" borderId="12" xfId="1" applyFont="1" applyFill="1" applyBorder="1" applyAlignment="1">
      <alignment vertical="center"/>
    </xf>
    <xf numFmtId="0" fontId="23" fillId="2" borderId="12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right" vertical="center"/>
    </xf>
    <xf numFmtId="164" fontId="23" fillId="2" borderId="12" xfId="1" applyNumberFormat="1" applyFont="1" applyFill="1" applyBorder="1" applyAlignment="1">
      <alignment horizontal="center" vertical="center"/>
    </xf>
    <xf numFmtId="3" fontId="23" fillId="2" borderId="12" xfId="1" applyNumberFormat="1" applyFont="1" applyFill="1" applyBorder="1" applyAlignment="1">
      <alignment horizontal="right" vertical="center"/>
    </xf>
    <xf numFmtId="3" fontId="23" fillId="2" borderId="12" xfId="1" applyNumberFormat="1" applyFont="1" applyFill="1" applyBorder="1" applyAlignment="1">
      <alignment vertical="center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right" vertical="center"/>
    </xf>
    <xf numFmtId="0" fontId="4" fillId="10" borderId="13" xfId="1" applyFont="1" applyFill="1" applyBorder="1" applyAlignment="1">
      <alignment vertical="center"/>
    </xf>
    <xf numFmtId="0" fontId="13" fillId="10" borderId="14" xfId="1" applyFont="1" applyFill="1" applyBorder="1" applyAlignment="1">
      <alignment vertical="center"/>
    </xf>
    <xf numFmtId="0" fontId="4" fillId="10" borderId="14" xfId="1" applyFont="1" applyFill="1" applyBorder="1" applyAlignment="1">
      <alignment horizontal="right" vertical="center"/>
    </xf>
    <xf numFmtId="0" fontId="13" fillId="10" borderId="14" xfId="1" applyFont="1" applyFill="1" applyBorder="1" applyAlignment="1">
      <alignment horizontal="center" vertical="center"/>
    </xf>
    <xf numFmtId="0" fontId="4" fillId="10" borderId="14" xfId="1" applyFont="1" applyFill="1" applyBorder="1" applyAlignment="1">
      <alignment vertical="center"/>
    </xf>
    <xf numFmtId="0" fontId="13" fillId="10" borderId="15" xfId="1" applyFont="1" applyFill="1" applyBorder="1" applyAlignment="1">
      <alignment horizontal="center" vertical="center"/>
    </xf>
    <xf numFmtId="0" fontId="24" fillId="11" borderId="16" xfId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vertical="center"/>
    </xf>
    <xf numFmtId="0" fontId="4" fillId="3" borderId="17" xfId="1" applyFont="1" applyFill="1" applyBorder="1" applyAlignment="1">
      <alignment horizontal="right" vertical="center"/>
    </xf>
    <xf numFmtId="164" fontId="24" fillId="11" borderId="17" xfId="1" applyNumberFormat="1" applyFont="1" applyFill="1" applyBorder="1" applyAlignment="1">
      <alignment horizontal="center" vertical="center"/>
    </xf>
    <xf numFmtId="3" fontId="24" fillId="11" borderId="17" xfId="1" applyNumberFormat="1" applyFont="1" applyFill="1" applyBorder="1" applyAlignment="1">
      <alignment horizontal="right" vertical="center"/>
    </xf>
    <xf numFmtId="0" fontId="4" fillId="3" borderId="17" xfId="1" applyFont="1" applyFill="1" applyBorder="1" applyAlignment="1">
      <alignment vertical="center"/>
    </xf>
    <xf numFmtId="3" fontId="25" fillId="7" borderId="17" xfId="1" applyNumberFormat="1" applyFont="1" applyFill="1" applyBorder="1" applyAlignment="1">
      <alignment vertical="center"/>
    </xf>
    <xf numFmtId="0" fontId="26" fillId="11" borderId="18" xfId="1" applyFont="1" applyFill="1" applyBorder="1" applyAlignment="1">
      <alignment vertical="center"/>
    </xf>
    <xf numFmtId="0" fontId="27" fillId="3" borderId="16" xfId="1" applyFont="1" applyFill="1" applyBorder="1" applyAlignment="1">
      <alignment horizontal="center" vertical="center"/>
    </xf>
    <xf numFmtId="0" fontId="27" fillId="3" borderId="17" xfId="1" applyFont="1" applyFill="1" applyBorder="1" applyAlignment="1">
      <alignment vertical="center"/>
    </xf>
    <xf numFmtId="164" fontId="27" fillId="3" borderId="17" xfId="1" applyNumberFormat="1" applyFont="1" applyFill="1" applyBorder="1" applyAlignment="1">
      <alignment horizontal="center" vertical="center"/>
    </xf>
    <xf numFmtId="3" fontId="27" fillId="3" borderId="17" xfId="1" applyNumberFormat="1" applyFont="1" applyFill="1" applyBorder="1" applyAlignment="1">
      <alignment horizontal="right" vertical="center"/>
    </xf>
    <xf numFmtId="0" fontId="19" fillId="3" borderId="17" xfId="1" applyFont="1" applyFill="1" applyBorder="1" applyAlignment="1">
      <alignment horizontal="center" vertical="center"/>
    </xf>
    <xf numFmtId="0" fontId="26" fillId="3" borderId="18" xfId="1" applyFont="1" applyFill="1" applyBorder="1" applyAlignment="1">
      <alignment vertical="center"/>
    </xf>
    <xf numFmtId="0" fontId="13" fillId="13" borderId="19" xfId="1" applyFont="1" applyFill="1" applyBorder="1" applyAlignment="1">
      <alignment vertical="center"/>
    </xf>
    <xf numFmtId="0" fontId="13" fillId="13" borderId="20" xfId="1" applyFont="1" applyFill="1" applyBorder="1" applyAlignment="1">
      <alignment vertical="center"/>
    </xf>
    <xf numFmtId="0" fontId="0" fillId="0" borderId="21" xfId="0" applyBorder="1"/>
    <xf numFmtId="0" fontId="0" fillId="0" borderId="20" xfId="0" applyBorder="1"/>
    <xf numFmtId="0" fontId="4" fillId="3" borderId="0" xfId="1" applyFont="1" applyFill="1" applyAlignment="1">
      <alignment horizontal="right"/>
    </xf>
    <xf numFmtId="0" fontId="28" fillId="3" borderId="0" xfId="2" applyFill="1" applyAlignment="1">
      <alignment vertical="center"/>
    </xf>
    <xf numFmtId="0" fontId="6" fillId="3" borderId="0" xfId="0" applyFont="1" applyFill="1"/>
    <xf numFmtId="0" fontId="28" fillId="3" borderId="0" xfId="2" applyFill="1" applyAlignment="1">
      <alignment vertical="center"/>
    </xf>
    <xf numFmtId="0" fontId="9" fillId="5" borderId="0" xfId="0" applyFont="1" applyFill="1" applyAlignment="1">
      <alignment horizontal="center"/>
    </xf>
    <xf numFmtId="0" fontId="29" fillId="10" borderId="0" xfId="0" applyFont="1" applyFill="1" applyAlignment="1">
      <alignment horizontal="left"/>
    </xf>
    <xf numFmtId="0" fontId="13" fillId="8" borderId="13" xfId="0" applyFont="1" applyFill="1" applyBorder="1" applyAlignment="1">
      <alignment horizontal="center" vertical="center"/>
    </xf>
    <xf numFmtId="0" fontId="0" fillId="0" borderId="14" xfId="0" applyBorder="1"/>
    <xf numFmtId="0" fontId="13" fillId="8" borderId="14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vertical="center"/>
    </xf>
    <xf numFmtId="0" fontId="13" fillId="8" borderId="14" xfId="0" applyFont="1" applyFill="1" applyBorder="1" applyAlignment="1">
      <alignment horizontal="center" vertical="center"/>
    </xf>
    <xf numFmtId="0" fontId="13" fillId="8" borderId="15" xfId="0" applyFont="1" applyFill="1" applyBorder="1" applyAlignment="1">
      <alignment horizontal="center" vertical="center"/>
    </xf>
    <xf numFmtId="165" fontId="6" fillId="3" borderId="0" xfId="3" applyFont="1" applyFill="1" applyAlignment="1">
      <alignment vertical="center"/>
    </xf>
    <xf numFmtId="0" fontId="15" fillId="11" borderId="16" xfId="0" applyFont="1" applyFill="1" applyBorder="1" applyAlignment="1">
      <alignment vertical="center"/>
    </xf>
    <xf numFmtId="0" fontId="0" fillId="0" borderId="17" xfId="0" applyBorder="1"/>
    <xf numFmtId="3" fontId="17" fillId="14" borderId="17" xfId="0" applyNumberFormat="1" applyFont="1" applyFill="1" applyBorder="1" applyAlignment="1">
      <alignment horizontal="right" vertical="center"/>
    </xf>
    <xf numFmtId="0" fontId="6" fillId="3" borderId="23" xfId="0" applyFont="1" applyFill="1" applyBorder="1" applyAlignment="1">
      <alignment vertical="center"/>
    </xf>
    <xf numFmtId="0" fontId="15" fillId="11" borderId="17" xfId="0" applyFont="1" applyFill="1" applyBorder="1" applyAlignment="1">
      <alignment vertical="center" wrapText="1"/>
    </xf>
    <xf numFmtId="164" fontId="17" fillId="6" borderId="18" xfId="0" applyNumberFormat="1" applyFont="1" applyFill="1" applyBorder="1" applyAlignment="1">
      <alignment horizontal="center" vertical="center"/>
    </xf>
    <xf numFmtId="9" fontId="6" fillId="3" borderId="0" xfId="0" applyNumberFormat="1" applyFont="1" applyFill="1" applyAlignment="1">
      <alignment vertical="center"/>
    </xf>
    <xf numFmtId="0" fontId="15" fillId="3" borderId="16" xfId="0" applyFont="1" applyFill="1" applyBorder="1" applyAlignment="1">
      <alignment vertical="center"/>
    </xf>
    <xf numFmtId="3" fontId="17" fillId="6" borderId="17" xfId="0" applyNumberFormat="1" applyFont="1" applyFill="1" applyBorder="1" applyAlignment="1">
      <alignment horizontal="right" vertical="center"/>
    </xf>
    <xf numFmtId="0" fontId="15" fillId="3" borderId="17" xfId="0" applyFont="1" applyFill="1" applyBorder="1" applyAlignment="1">
      <alignment vertical="center" wrapText="1"/>
    </xf>
    <xf numFmtId="164" fontId="17" fillId="6" borderId="17" xfId="0" applyNumberFormat="1" applyFont="1" applyFill="1" applyBorder="1" applyAlignment="1">
      <alignment horizontal="right" vertical="center"/>
    </xf>
    <xf numFmtId="3" fontId="30" fillId="3" borderId="17" xfId="0" applyNumberFormat="1" applyFont="1" applyFill="1" applyBorder="1" applyAlignment="1">
      <alignment horizontal="right" vertical="center"/>
    </xf>
    <xf numFmtId="0" fontId="13" fillId="13" borderId="17" xfId="0" applyFont="1" applyFill="1" applyBorder="1" applyAlignment="1">
      <alignment vertical="center" wrapText="1"/>
    </xf>
    <xf numFmtId="164" fontId="13" fillId="13" borderId="18" xfId="0" applyNumberFormat="1" applyFont="1" applyFill="1" applyBorder="1" applyAlignment="1">
      <alignment horizontal="center" vertical="center"/>
    </xf>
    <xf numFmtId="0" fontId="15" fillId="11" borderId="24" xfId="0" applyFont="1" applyFill="1" applyBorder="1" applyAlignment="1">
      <alignment vertical="center"/>
    </xf>
    <xf numFmtId="0" fontId="0" fillId="0" borderId="25" xfId="0" applyBorder="1"/>
    <xf numFmtId="164" fontId="17" fillId="6" borderId="25" xfId="0" applyNumberFormat="1" applyFont="1" applyFill="1" applyBorder="1" applyAlignment="1">
      <alignment horizontal="right" vertical="center"/>
    </xf>
    <xf numFmtId="0" fontId="6" fillId="3" borderId="26" xfId="0" applyFont="1" applyFill="1" applyBorder="1" applyAlignment="1">
      <alignment vertical="center"/>
    </xf>
    <xf numFmtId="0" fontId="27" fillId="15" borderId="25" xfId="0" applyFont="1" applyFill="1" applyBorder="1" applyAlignment="1">
      <alignment vertical="center" wrapText="1"/>
    </xf>
    <xf numFmtId="164" fontId="27" fillId="15" borderId="27" xfId="0" applyNumberFormat="1" applyFont="1" applyFill="1" applyBorder="1" applyAlignment="1">
      <alignment horizontal="center" vertical="center"/>
    </xf>
    <xf numFmtId="0" fontId="29" fillId="10" borderId="0" xfId="0" applyFont="1" applyFill="1" applyAlignment="1">
      <alignment horizontal="left" vertical="center"/>
    </xf>
    <xf numFmtId="0" fontId="11" fillId="10" borderId="4" xfId="0" applyFont="1" applyFill="1" applyBorder="1" applyAlignment="1">
      <alignment horizontal="center" vertical="center" wrapText="1"/>
    </xf>
    <xf numFmtId="0" fontId="0" fillId="0" borderId="28" xfId="0" applyBorder="1"/>
    <xf numFmtId="0" fontId="11" fillId="13" borderId="4" xfId="0" applyFont="1" applyFill="1" applyBorder="1" applyAlignment="1">
      <alignment horizontal="center" vertical="center" wrapText="1"/>
    </xf>
    <xf numFmtId="0" fontId="11" fillId="16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 wrapText="1"/>
    </xf>
    <xf numFmtId="0" fontId="28" fillId="3" borderId="0" xfId="2" applyFill="1" applyAlignment="1">
      <alignment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horizontal="center" vertical="center" wrapText="1"/>
    </xf>
    <xf numFmtId="0" fontId="11" fillId="16" borderId="7" xfId="0" applyFont="1" applyFill="1" applyBorder="1" applyAlignment="1">
      <alignment horizontal="center" vertical="center" wrapText="1"/>
    </xf>
    <xf numFmtId="0" fontId="11" fillId="16" borderId="8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/>
    </xf>
    <xf numFmtId="3" fontId="9" fillId="5" borderId="7" xfId="0" applyNumberFormat="1" applyFont="1" applyFill="1" applyBorder="1" applyAlignment="1">
      <alignment vertical="center"/>
    </xf>
    <xf numFmtId="164" fontId="19" fillId="11" borderId="7" xfId="0" applyNumberFormat="1" applyFont="1" applyFill="1" applyBorder="1" applyAlignment="1">
      <alignment horizontal="center" vertical="center"/>
    </xf>
    <xf numFmtId="3" fontId="31" fillId="17" borderId="7" xfId="0" applyNumberFormat="1" applyFont="1" applyFill="1" applyBorder="1" applyAlignment="1">
      <alignment vertical="center"/>
    </xf>
    <xf numFmtId="3" fontId="25" fillId="18" borderId="7" xfId="0" applyNumberFormat="1" applyFont="1" applyFill="1" applyBorder="1" applyAlignment="1">
      <alignment vertical="center"/>
    </xf>
    <xf numFmtId="166" fontId="30" fillId="15" borderId="7" xfId="0" applyNumberFormat="1" applyFont="1" applyFill="1" applyBorder="1" applyAlignment="1">
      <alignment vertical="center"/>
    </xf>
    <xf numFmtId="3" fontId="19" fillId="15" borderId="7" xfId="0" applyNumberFormat="1" applyFont="1" applyFill="1" applyBorder="1" applyAlignment="1">
      <alignment vertical="center"/>
    </xf>
    <xf numFmtId="166" fontId="32" fillId="15" borderId="8" xfId="0" applyNumberFormat="1" applyFont="1" applyFill="1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164" fontId="19" fillId="3" borderId="7" xfId="0" applyNumberFormat="1" applyFont="1" applyFill="1" applyBorder="1" applyAlignment="1">
      <alignment horizontal="center" vertical="center"/>
    </xf>
    <xf numFmtId="3" fontId="31" fillId="3" borderId="7" xfId="0" applyNumberFormat="1" applyFont="1" applyFill="1" applyBorder="1" applyAlignment="1">
      <alignment vertical="center"/>
    </xf>
    <xf numFmtId="0" fontId="13" fillId="2" borderId="29" xfId="0" applyFont="1" applyFill="1" applyBorder="1" applyAlignment="1">
      <alignment horizontal="center"/>
    </xf>
    <xf numFmtId="3" fontId="13" fillId="2" borderId="30" xfId="0" applyNumberFormat="1" applyFont="1" applyFill="1" applyBorder="1"/>
    <xf numFmtId="164" fontId="13" fillId="2" borderId="30" xfId="0" applyNumberFormat="1" applyFont="1" applyFill="1" applyBorder="1" applyAlignment="1">
      <alignment horizontal="center"/>
    </xf>
    <xf numFmtId="3" fontId="13" fillId="19" borderId="30" xfId="0" applyNumberFormat="1" applyFont="1" applyFill="1" applyBorder="1"/>
    <xf numFmtId="3" fontId="13" fillId="19" borderId="30" xfId="3" applyNumberFormat="1" applyFont="1" applyFill="1" applyBorder="1"/>
    <xf numFmtId="166" fontId="13" fillId="20" borderId="30" xfId="0" applyNumberFormat="1" applyFont="1" applyFill="1" applyBorder="1"/>
    <xf numFmtId="3" fontId="13" fillId="20" borderId="30" xfId="0" applyNumberFormat="1" applyFont="1" applyFill="1" applyBorder="1"/>
    <xf numFmtId="166" fontId="13" fillId="20" borderId="31" xfId="0" applyNumberFormat="1" applyFont="1" applyFill="1" applyBorder="1"/>
    <xf numFmtId="165" fontId="6" fillId="3" borderId="0" xfId="3" applyFont="1" applyFill="1"/>
    <xf numFmtId="0" fontId="6" fillId="21" borderId="0" xfId="0" applyFont="1" applyFill="1"/>
    <xf numFmtId="165" fontId="6" fillId="21" borderId="0" xfId="3" applyFont="1" applyFill="1"/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 vertical="center"/>
    </xf>
    <xf numFmtId="0" fontId="0" fillId="0" borderId="15" xfId="0" applyBorder="1"/>
    <xf numFmtId="0" fontId="9" fillId="18" borderId="6" xfId="0" applyFont="1" applyFill="1" applyBorder="1" applyAlignment="1">
      <alignment horizontal="center" vertical="center"/>
    </xf>
    <xf numFmtId="0" fontId="25" fillId="18" borderId="7" xfId="0" applyFont="1" applyFill="1" applyBorder="1" applyAlignment="1">
      <alignment vertical="center"/>
    </xf>
    <xf numFmtId="166" fontId="25" fillId="18" borderId="7" xfId="0" applyNumberFormat="1" applyFont="1" applyFill="1" applyBorder="1" applyAlignment="1">
      <alignment vertical="center"/>
    </xf>
    <xf numFmtId="0" fontId="22" fillId="18" borderId="8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166" fontId="32" fillId="5" borderId="7" xfId="0" applyNumberFormat="1" applyFont="1" applyFill="1" applyBorder="1" applyAlignment="1">
      <alignment horizontal="center" vertical="center"/>
    </xf>
    <xf numFmtId="166" fontId="32" fillId="5" borderId="8" xfId="0" applyNumberFormat="1" applyFont="1" applyFill="1" applyBorder="1" applyAlignment="1">
      <alignment vertical="center"/>
    </xf>
    <xf numFmtId="0" fontId="9" fillId="11" borderId="16" xfId="0" applyFont="1" applyFill="1" applyBorder="1" applyAlignment="1">
      <alignment vertical="center"/>
    </xf>
    <xf numFmtId="3" fontId="25" fillId="11" borderId="18" xfId="0" applyNumberFormat="1" applyFont="1" applyFill="1" applyBorder="1" applyAlignment="1">
      <alignment vertical="center"/>
    </xf>
    <xf numFmtId="166" fontId="18" fillId="11" borderId="7" xfId="0" applyNumberFormat="1" applyFont="1" applyFill="1" applyBorder="1" applyAlignment="1">
      <alignment vertical="center"/>
    </xf>
    <xf numFmtId="0" fontId="33" fillId="11" borderId="8" xfId="0" applyFont="1" applyFill="1" applyBorder="1" applyAlignment="1">
      <alignment horizontal="center" vertical="center"/>
    </xf>
    <xf numFmtId="166" fontId="32" fillId="3" borderId="7" xfId="0" applyNumberFormat="1" applyFont="1" applyFill="1" applyBorder="1" applyAlignment="1">
      <alignment horizontal="center" vertical="center"/>
    </xf>
    <xf numFmtId="166" fontId="32" fillId="3" borderId="8" xfId="0" applyNumberFormat="1" applyFont="1" applyFill="1" applyBorder="1" applyAlignment="1">
      <alignment vertical="center"/>
    </xf>
    <xf numFmtId="3" fontId="34" fillId="3" borderId="18" xfId="0" applyNumberFormat="1" applyFont="1" applyFill="1" applyBorder="1" applyAlignment="1">
      <alignment vertical="center"/>
    </xf>
    <xf numFmtId="166" fontId="18" fillId="3" borderId="7" xfId="0" applyNumberFormat="1" applyFont="1" applyFill="1" applyBorder="1" applyAlignment="1">
      <alignment vertical="center"/>
    </xf>
    <xf numFmtId="0" fontId="33" fillId="3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166" fontId="32" fillId="5" borderId="10" xfId="0" applyNumberFormat="1" applyFont="1" applyFill="1" applyBorder="1" applyAlignment="1">
      <alignment horizontal="center" vertical="center"/>
    </xf>
    <xf numFmtId="166" fontId="32" fillId="5" borderId="11" xfId="0" applyNumberFormat="1" applyFont="1" applyFill="1" applyBorder="1" applyAlignment="1">
      <alignment vertical="center"/>
    </xf>
    <xf numFmtId="3" fontId="31" fillId="11" borderId="18" xfId="0" applyNumberFormat="1" applyFont="1" applyFill="1" applyBorder="1" applyAlignment="1">
      <alignment vertical="center"/>
    </xf>
    <xf numFmtId="43" fontId="6" fillId="3" borderId="33" xfId="4" applyFont="1" applyFill="1" applyBorder="1"/>
    <xf numFmtId="0" fontId="9" fillId="3" borderId="16" xfId="0" applyFont="1" applyFill="1" applyBorder="1" applyAlignment="1">
      <alignment vertical="center"/>
    </xf>
    <xf numFmtId="166" fontId="25" fillId="17" borderId="17" xfId="0" applyNumberFormat="1" applyFont="1" applyFill="1" applyBorder="1" applyAlignment="1">
      <alignment vertical="center"/>
    </xf>
    <xf numFmtId="167" fontId="28" fillId="3" borderId="0" xfId="4" applyNumberFormat="1" applyFont="1" applyFill="1" applyAlignment="1">
      <alignment vertical="center"/>
    </xf>
    <xf numFmtId="168" fontId="28" fillId="3" borderId="0" xfId="2" applyNumberFormat="1" applyFill="1" applyAlignment="1">
      <alignment vertical="center"/>
    </xf>
    <xf numFmtId="9" fontId="28" fillId="3" borderId="0" xfId="2" applyNumberFormat="1" applyFill="1" applyAlignment="1">
      <alignment vertical="center"/>
    </xf>
    <xf numFmtId="165" fontId="28" fillId="3" borderId="0" xfId="3" applyFont="1" applyFill="1" applyAlignment="1">
      <alignment vertical="center"/>
    </xf>
    <xf numFmtId="0" fontId="13" fillId="8" borderId="32" xfId="2" applyFont="1" applyFill="1" applyBorder="1" applyAlignment="1">
      <alignment horizontal="center" vertical="center"/>
    </xf>
    <xf numFmtId="164" fontId="25" fillId="17" borderId="18" xfId="0" applyNumberFormat="1" applyFont="1" applyFill="1" applyBorder="1" applyAlignment="1">
      <alignment vertical="center"/>
    </xf>
    <xf numFmtId="43" fontId="28" fillId="3" borderId="33" xfId="4" applyFont="1" applyFill="1" applyBorder="1" applyAlignment="1">
      <alignment vertical="center"/>
    </xf>
    <xf numFmtId="0" fontId="9" fillId="11" borderId="16" xfId="2" applyFont="1" applyFill="1" applyBorder="1" applyAlignment="1">
      <alignment vertical="center"/>
    </xf>
    <xf numFmtId="3" fontId="25" fillId="11" borderId="18" xfId="2" applyNumberFormat="1" applyFont="1" applyFill="1" applyBorder="1" applyAlignment="1">
      <alignment vertical="center"/>
    </xf>
    <xf numFmtId="164" fontId="30" fillId="3" borderId="18" xfId="0" applyNumberFormat="1" applyFont="1" applyFill="1" applyBorder="1" applyAlignment="1">
      <alignment vertical="center"/>
    </xf>
    <xf numFmtId="0" fontId="28" fillId="3" borderId="33" xfId="2" applyFill="1" applyBorder="1" applyAlignment="1">
      <alignment vertical="center"/>
    </xf>
    <xf numFmtId="0" fontId="15" fillId="3" borderId="16" xfId="2" applyFont="1" applyFill="1" applyBorder="1" applyAlignment="1">
      <alignment vertical="center"/>
    </xf>
    <xf numFmtId="3" fontId="34" fillId="3" borderId="18" xfId="2" applyNumberFormat="1" applyFont="1" applyFill="1" applyBorder="1" applyAlignment="1">
      <alignment vertical="center"/>
    </xf>
    <xf numFmtId="166" fontId="27" fillId="15" borderId="18" xfId="2" applyNumberFormat="1" applyFont="1" applyFill="1" applyBorder="1" applyAlignment="1">
      <alignment vertical="center"/>
    </xf>
    <xf numFmtId="0" fontId="23" fillId="13" borderId="16" xfId="0" applyFont="1" applyFill="1" applyBorder="1" applyAlignment="1">
      <alignment vertical="center"/>
    </xf>
    <xf numFmtId="0" fontId="23" fillId="13" borderId="18" xfId="0" applyFont="1" applyFill="1" applyBorder="1" applyAlignment="1">
      <alignment horizontal="center" vertical="center"/>
    </xf>
    <xf numFmtId="0" fontId="9" fillId="3" borderId="16" xfId="2" applyFont="1" applyFill="1" applyBorder="1" applyAlignment="1">
      <alignment vertical="center"/>
    </xf>
    <xf numFmtId="164" fontId="27" fillId="15" borderId="18" xfId="2" applyNumberFormat="1" applyFont="1" applyFill="1" applyBorder="1" applyAlignment="1">
      <alignment vertical="center"/>
    </xf>
    <xf numFmtId="0" fontId="35" fillId="21" borderId="34" xfId="0" applyFont="1" applyFill="1" applyBorder="1" applyAlignment="1">
      <alignment horizontal="center" vertical="center"/>
    </xf>
    <xf numFmtId="0" fontId="0" fillId="0" borderId="18" xfId="0" applyBorder="1"/>
    <xf numFmtId="0" fontId="15" fillId="11" borderId="16" xfId="2" applyFont="1" applyFill="1" applyBorder="1" applyAlignment="1">
      <alignment vertical="center"/>
    </xf>
    <xf numFmtId="164" fontId="30" fillId="11" borderId="18" xfId="2" applyNumberFormat="1" applyFont="1" applyFill="1" applyBorder="1" applyAlignment="1">
      <alignment vertical="center"/>
    </xf>
    <xf numFmtId="0" fontId="13" fillId="9" borderId="34" xfId="0" applyFont="1" applyFill="1" applyBorder="1" applyAlignment="1">
      <alignment horizontal="center" vertical="center"/>
    </xf>
    <xf numFmtId="3" fontId="30" fillId="3" borderId="18" xfId="2" applyNumberFormat="1" applyFont="1" applyFill="1" applyBorder="1" applyAlignment="1">
      <alignment vertical="center"/>
    </xf>
    <xf numFmtId="0" fontId="25" fillId="22" borderId="16" xfId="0" applyFont="1" applyFill="1" applyBorder="1" applyAlignment="1">
      <alignment vertical="center" wrapText="1"/>
    </xf>
    <xf numFmtId="0" fontId="25" fillId="22" borderId="17" xfId="0" applyFont="1" applyFill="1" applyBorder="1" applyAlignment="1">
      <alignment horizontal="center" vertical="center" wrapText="1"/>
    </xf>
    <xf numFmtId="0" fontId="23" fillId="13" borderId="34" xfId="2" applyFont="1" applyFill="1" applyBorder="1" applyAlignment="1">
      <alignment horizontal="center" vertical="center"/>
    </xf>
    <xf numFmtId="0" fontId="23" fillId="16" borderId="19" xfId="2" applyFont="1" applyFill="1" applyBorder="1" applyAlignment="1">
      <alignment vertical="center"/>
    </xf>
    <xf numFmtId="0" fontId="23" fillId="16" borderId="20" xfId="2" applyFont="1" applyFill="1" applyBorder="1" applyAlignment="1">
      <alignment horizontal="center" vertical="center"/>
    </xf>
    <xf numFmtId="0" fontId="9" fillId="11" borderId="35" xfId="0" applyFont="1" applyFill="1" applyBorder="1" applyAlignment="1">
      <alignment horizontal="center" vertical="center"/>
    </xf>
    <xf numFmtId="166" fontId="18" fillId="11" borderId="36" xfId="0" applyNumberFormat="1" applyFont="1" applyFill="1" applyBorder="1" applyAlignment="1">
      <alignment vertical="center"/>
    </xf>
    <xf numFmtId="0" fontId="33" fillId="11" borderId="37" xfId="0" applyFont="1" applyFill="1" applyBorder="1" applyAlignment="1">
      <alignment horizontal="center" vertical="center"/>
    </xf>
    <xf numFmtId="0" fontId="9" fillId="23" borderId="38" xfId="0" applyFont="1" applyFill="1" applyBorder="1" applyAlignment="1">
      <alignment horizontal="center" vertical="center"/>
    </xf>
    <xf numFmtId="166" fontId="9" fillId="23" borderId="39" xfId="0" applyNumberFormat="1" applyFont="1" applyFill="1" applyBorder="1" applyAlignment="1">
      <alignment vertical="center"/>
    </xf>
    <xf numFmtId="166" fontId="9" fillId="24" borderId="39" xfId="0" applyNumberFormat="1" applyFont="1" applyFill="1" applyBorder="1" applyAlignment="1">
      <alignment vertical="center"/>
    </xf>
    <xf numFmtId="0" fontId="9" fillId="23" borderId="40" xfId="0" applyFont="1" applyFill="1" applyBorder="1" applyAlignment="1">
      <alignment horizontal="center" vertical="center"/>
    </xf>
    <xf numFmtId="0" fontId="9" fillId="11" borderId="41" xfId="0" applyFont="1" applyFill="1" applyBorder="1" applyAlignment="1">
      <alignment horizontal="center" vertical="center"/>
    </xf>
    <xf numFmtId="166" fontId="18" fillId="11" borderId="42" xfId="0" applyNumberFormat="1" applyFont="1" applyFill="1" applyBorder="1" applyAlignment="1">
      <alignment vertical="center"/>
    </xf>
    <xf numFmtId="0" fontId="33" fillId="11" borderId="43" xfId="0" applyFont="1" applyFill="1" applyBorder="1" applyAlignment="1">
      <alignment horizontal="center" vertical="center"/>
    </xf>
    <xf numFmtId="0" fontId="36" fillId="22" borderId="44" xfId="0" applyFont="1" applyFill="1" applyBorder="1" applyAlignment="1">
      <alignment vertical="center" wrapText="1"/>
    </xf>
    <xf numFmtId="0" fontId="0" fillId="0" borderId="27" xfId="0" applyBorder="1"/>
    <xf numFmtId="0" fontId="37" fillId="21" borderId="45" xfId="2" applyFont="1" applyFill="1" applyBorder="1" applyAlignment="1">
      <alignment horizontal="center" vertical="center"/>
    </xf>
    <xf numFmtId="0" fontId="37" fillId="21" borderId="45" xfId="2" applyFont="1" applyFill="1" applyBorder="1" applyAlignment="1">
      <alignment vertical="center"/>
    </xf>
    <xf numFmtId="0" fontId="28" fillId="3" borderId="45" xfId="2" applyFill="1" applyBorder="1" applyAlignment="1">
      <alignment horizontal="center" vertical="center"/>
    </xf>
    <xf numFmtId="165" fontId="28" fillId="3" borderId="46" xfId="3" applyFont="1" applyFill="1" applyBorder="1" applyAlignment="1">
      <alignment vertical="center"/>
    </xf>
    <xf numFmtId="165" fontId="28" fillId="3" borderId="47" xfId="3" applyFont="1" applyFill="1" applyBorder="1" applyAlignment="1">
      <alignment vertical="center"/>
    </xf>
    <xf numFmtId="165" fontId="28" fillId="3" borderId="48" xfId="3" applyFont="1" applyFill="1" applyBorder="1" applyAlignment="1">
      <alignment vertical="center"/>
    </xf>
    <xf numFmtId="165" fontId="28" fillId="3" borderId="49" xfId="3" applyFont="1" applyFill="1" applyBorder="1" applyAlignment="1">
      <alignment vertical="center"/>
    </xf>
    <xf numFmtId="165" fontId="28" fillId="3" borderId="50" xfId="3" applyFont="1" applyFill="1" applyBorder="1" applyAlignment="1">
      <alignment vertical="center"/>
    </xf>
    <xf numFmtId="165" fontId="28" fillId="3" borderId="51" xfId="3" applyFont="1" applyFill="1" applyBorder="1" applyAlignment="1">
      <alignment vertical="center"/>
    </xf>
    <xf numFmtId="0" fontId="9" fillId="3" borderId="52" xfId="0" applyFont="1" applyFill="1" applyBorder="1" applyAlignment="1">
      <alignment horizontal="center" vertical="center"/>
    </xf>
    <xf numFmtId="166" fontId="18" fillId="3" borderId="30" xfId="0" applyNumberFormat="1" applyFont="1" applyFill="1" applyBorder="1" applyAlignment="1">
      <alignment vertical="center"/>
    </xf>
    <xf numFmtId="0" fontId="33" fillId="3" borderId="53" xfId="0" applyFont="1" applyFill="1" applyBorder="1" applyAlignment="1">
      <alignment horizontal="center" vertical="center"/>
    </xf>
    <xf numFmtId="165" fontId="28" fillId="3" borderId="54" xfId="3" applyFont="1" applyFill="1" applyBorder="1" applyAlignment="1">
      <alignment vertical="center"/>
    </xf>
    <xf numFmtId="165" fontId="28" fillId="3" borderId="55" xfId="3" applyFont="1" applyFill="1" applyBorder="1" applyAlignment="1">
      <alignment vertical="center"/>
    </xf>
    <xf numFmtId="165" fontId="28" fillId="3" borderId="56" xfId="3" applyFont="1" applyFill="1" applyBorder="1" applyAlignment="1">
      <alignment vertical="center"/>
    </xf>
  </cellXfs>
  <cellStyles count="5">
    <cellStyle name="Comma [0] 2" xfId="3" xr:uid="{6BED8606-86EA-8646-8A26-44D216F4D366}"/>
    <cellStyle name="Comma 2" xfId="4" xr:uid="{940F40B3-7173-B341-B59C-3B4CFD1F0362}"/>
    <cellStyle name="Normal" xfId="0" builtinId="0"/>
    <cellStyle name="Normal 2" xfId="2" xr:uid="{B27BC520-A81F-EA44-B106-10D4E2072162}"/>
    <cellStyle name="Normal 3" xfId="1" xr:uid="{8D6B4933-4547-1843-AEC3-A5462FC08655}"/>
  </cellStyles>
  <dxfs count="8">
    <dxf>
      <font>
        <b/>
        <color rgb="FF008000"/>
      </font>
      <fill>
        <patternFill patternType="solid">
          <fgColor indexed="64"/>
          <bgColor rgb="FFE2EFDA"/>
        </patternFill>
      </fill>
    </dxf>
    <dxf>
      <font>
        <b/>
        <color rgb="FFC00000"/>
      </font>
      <fill>
        <patternFill patternType="solid">
          <fgColor indexed="64"/>
          <bgColor rgb="FFFFF2F2"/>
        </patternFill>
      </fill>
    </dxf>
    <dxf>
      <font>
        <color rgb="FF008000"/>
      </font>
      <fill>
        <patternFill patternType="solid">
          <fgColor indexed="64"/>
          <bgColor rgb="FFE2EFDA"/>
        </patternFill>
      </fill>
    </dxf>
    <dxf>
      <font>
        <color rgb="FFC00000"/>
      </font>
    </dxf>
    <dxf>
      <font>
        <b/>
        <color rgb="FF008000"/>
      </font>
      <fill>
        <patternFill patternType="solid">
          <fgColor indexed="64"/>
          <bgColor rgb="FFE2EFDA"/>
        </patternFill>
      </fill>
    </dxf>
    <dxf>
      <font>
        <color rgb="FFC00000"/>
      </font>
      <fill>
        <patternFill patternType="solid">
          <fgColor indexed="64"/>
          <bgColor rgb="FFFFF2F2"/>
        </patternFill>
      </fill>
    </dxf>
    <dxf>
      <font>
        <color rgb="FF008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Doanh Thu vs Chi Phí vs Lợi Nhuận (36 Tháng)</a:t>
            </a:r>
          </a:p>
        </c:rich>
      </c:tx>
      <c:overlay val="0"/>
      <c:spPr>
        <a:noFill/>
        <a:ln>
          <a:noFill/>
          <a:prstDash val="solid"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'KE HOACH DONG TIEN'!$G$91</c:f>
              <c:strCache>
                <c:ptCount val="1"/>
                <c:pt idx="0">
                  <c:v>Doanh thu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olid"/>
              <a:round/>
            </a:ln>
          </c:spPr>
          <c:marker>
            <c:symbol val="none"/>
          </c:marker>
          <c:cat>
            <c:strRef>
              <c:f>'KE HOACH DONG TIEN'!$F$92:$F$127</c:f>
              <c:strCache>
                <c:ptCount val="36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  <c:pt idx="12">
                  <c:v>T13</c:v>
                </c:pt>
                <c:pt idx="13">
                  <c:v>T14</c:v>
                </c:pt>
                <c:pt idx="14">
                  <c:v>T15</c:v>
                </c:pt>
                <c:pt idx="15">
                  <c:v>T16</c:v>
                </c:pt>
                <c:pt idx="16">
                  <c:v>T17</c:v>
                </c:pt>
                <c:pt idx="17">
                  <c:v>T18</c:v>
                </c:pt>
                <c:pt idx="18">
                  <c:v>T19</c:v>
                </c:pt>
                <c:pt idx="19">
                  <c:v>T20</c:v>
                </c:pt>
                <c:pt idx="20">
                  <c:v>T21</c:v>
                </c:pt>
                <c:pt idx="21">
                  <c:v>T22</c:v>
                </c:pt>
                <c:pt idx="22">
                  <c:v>T23</c:v>
                </c:pt>
                <c:pt idx="23">
                  <c:v>T24</c:v>
                </c:pt>
                <c:pt idx="24">
                  <c:v>T25</c:v>
                </c:pt>
                <c:pt idx="25">
                  <c:v>T26</c:v>
                </c:pt>
                <c:pt idx="26">
                  <c:v>T27</c:v>
                </c:pt>
                <c:pt idx="27">
                  <c:v>T28</c:v>
                </c:pt>
                <c:pt idx="28">
                  <c:v>T29</c:v>
                </c:pt>
                <c:pt idx="29">
                  <c:v>T30</c:v>
                </c:pt>
                <c:pt idx="30">
                  <c:v>T31</c:v>
                </c:pt>
                <c:pt idx="31">
                  <c:v>T32</c:v>
                </c:pt>
                <c:pt idx="32">
                  <c:v>T33</c:v>
                </c:pt>
                <c:pt idx="33">
                  <c:v>T34</c:v>
                </c:pt>
                <c:pt idx="34">
                  <c:v>T35</c:v>
                </c:pt>
                <c:pt idx="35">
                  <c:v>T36</c:v>
                </c:pt>
              </c:strCache>
            </c:strRef>
          </c:cat>
          <c:val>
            <c:numRef>
              <c:f>'KE HOACH DONG TIEN'!$G$92:$G$127</c:f>
              <c:numCache>
                <c:formatCode>_-* #,##0\ _₫_-;\-* #,##0\ _₫_-;_-* "-"\ _₫_-;_-@_-</c:formatCode>
                <c:ptCount val="36"/>
                <c:pt idx="0">
                  <c:v>97500000</c:v>
                </c:pt>
                <c:pt idx="1">
                  <c:v>98475000</c:v>
                </c:pt>
                <c:pt idx="2">
                  <c:v>99459750</c:v>
                </c:pt>
                <c:pt idx="3">
                  <c:v>100454347.5</c:v>
                </c:pt>
                <c:pt idx="4">
                  <c:v>101458890.97499999</c:v>
                </c:pt>
                <c:pt idx="5">
                  <c:v>102473479.88475001</c:v>
                </c:pt>
                <c:pt idx="6">
                  <c:v>103498214.68359751</c:v>
                </c:pt>
                <c:pt idx="7">
                  <c:v>104533196.83043349</c:v>
                </c:pt>
                <c:pt idx="8">
                  <c:v>105578528.79873782</c:v>
                </c:pt>
                <c:pt idx="9">
                  <c:v>106634314.08672521</c:v>
                </c:pt>
                <c:pt idx="10">
                  <c:v>107700657.22759247</c:v>
                </c:pt>
                <c:pt idx="11">
                  <c:v>108777663.79986839</c:v>
                </c:pt>
                <c:pt idx="12">
                  <c:v>109865440.43786708</c:v>
                </c:pt>
                <c:pt idx="13">
                  <c:v>110964094.84224576</c:v>
                </c:pt>
                <c:pt idx="14">
                  <c:v>112073735.79066822</c:v>
                </c:pt>
                <c:pt idx="15">
                  <c:v>113194473.14857489</c:v>
                </c:pt>
                <c:pt idx="16">
                  <c:v>114326417.88006064</c:v>
                </c:pt>
                <c:pt idx="17">
                  <c:v>115469682.05886124</c:v>
                </c:pt>
                <c:pt idx="18">
                  <c:v>116624378.87944984</c:v>
                </c:pt>
                <c:pt idx="19">
                  <c:v>117790622.66824436</c:v>
                </c:pt>
                <c:pt idx="20">
                  <c:v>118968528.8949268</c:v>
                </c:pt>
                <c:pt idx="21">
                  <c:v>120158214.18387607</c:v>
                </c:pt>
                <c:pt idx="22">
                  <c:v>121359796.32571484</c:v>
                </c:pt>
                <c:pt idx="23">
                  <c:v>122573394.28897199</c:v>
                </c:pt>
                <c:pt idx="24">
                  <c:v>123799128.23186173</c:v>
                </c:pt>
                <c:pt idx="25">
                  <c:v>125037119.51418035</c:v>
                </c:pt>
                <c:pt idx="26">
                  <c:v>126287490.70932215</c:v>
                </c:pt>
                <c:pt idx="27">
                  <c:v>127550365.61641537</c:v>
                </c:pt>
                <c:pt idx="28">
                  <c:v>128825869.27257952</c:v>
                </c:pt>
                <c:pt idx="29">
                  <c:v>130114127.96530533</c:v>
                </c:pt>
                <c:pt idx="30">
                  <c:v>131415269.24495837</c:v>
                </c:pt>
                <c:pt idx="31">
                  <c:v>132729421.93740797</c:v>
                </c:pt>
                <c:pt idx="32">
                  <c:v>134056716.15678205</c:v>
                </c:pt>
                <c:pt idx="33">
                  <c:v>135397283.31834987</c:v>
                </c:pt>
                <c:pt idx="34">
                  <c:v>136751256.15153337</c:v>
                </c:pt>
                <c:pt idx="35">
                  <c:v>138118768.7130487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6C-B141-B2D9-B3A2625F34EA}"/>
            </c:ext>
          </c:extLst>
        </c:ser>
        <c:ser>
          <c:idx val="1"/>
          <c:order val="1"/>
          <c:tx>
            <c:strRef>
              <c:f>'KE HOACH DONG TIEN'!$H$91</c:f>
              <c:strCache>
                <c:ptCount val="1"/>
                <c:pt idx="0">
                  <c:v>Tổng Chi phí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olid"/>
              <a:round/>
            </a:ln>
          </c:spPr>
          <c:marker>
            <c:symbol val="none"/>
          </c:marker>
          <c:cat>
            <c:strRef>
              <c:f>'KE HOACH DONG TIEN'!$F$92:$F$127</c:f>
              <c:strCache>
                <c:ptCount val="36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  <c:pt idx="12">
                  <c:v>T13</c:v>
                </c:pt>
                <c:pt idx="13">
                  <c:v>T14</c:v>
                </c:pt>
                <c:pt idx="14">
                  <c:v>T15</c:v>
                </c:pt>
                <c:pt idx="15">
                  <c:v>T16</c:v>
                </c:pt>
                <c:pt idx="16">
                  <c:v>T17</c:v>
                </c:pt>
                <c:pt idx="17">
                  <c:v>T18</c:v>
                </c:pt>
                <c:pt idx="18">
                  <c:v>T19</c:v>
                </c:pt>
                <c:pt idx="19">
                  <c:v>T20</c:v>
                </c:pt>
                <c:pt idx="20">
                  <c:v>T21</c:v>
                </c:pt>
                <c:pt idx="21">
                  <c:v>T22</c:v>
                </c:pt>
                <c:pt idx="22">
                  <c:v>T23</c:v>
                </c:pt>
                <c:pt idx="23">
                  <c:v>T24</c:v>
                </c:pt>
                <c:pt idx="24">
                  <c:v>T25</c:v>
                </c:pt>
                <c:pt idx="25">
                  <c:v>T26</c:v>
                </c:pt>
                <c:pt idx="26">
                  <c:v>T27</c:v>
                </c:pt>
                <c:pt idx="27">
                  <c:v>T28</c:v>
                </c:pt>
                <c:pt idx="28">
                  <c:v>T29</c:v>
                </c:pt>
                <c:pt idx="29">
                  <c:v>T30</c:v>
                </c:pt>
                <c:pt idx="30">
                  <c:v>T31</c:v>
                </c:pt>
                <c:pt idx="31">
                  <c:v>T32</c:v>
                </c:pt>
                <c:pt idx="32">
                  <c:v>T33</c:v>
                </c:pt>
                <c:pt idx="33">
                  <c:v>T34</c:v>
                </c:pt>
                <c:pt idx="34">
                  <c:v>T35</c:v>
                </c:pt>
                <c:pt idx="35">
                  <c:v>T36</c:v>
                </c:pt>
              </c:strCache>
            </c:strRef>
          </c:cat>
          <c:val>
            <c:numRef>
              <c:f>'KE HOACH DONG TIEN'!$H$92:$H$127</c:f>
              <c:numCache>
                <c:formatCode>_-* #,##0\ _₫_-;\-* #,##0\ _₫_-;_-* "-"\ _₫_-;_-@_-</c:formatCode>
                <c:ptCount val="36"/>
                <c:pt idx="0">
                  <c:v>78245836.666666672</c:v>
                </c:pt>
                <c:pt idx="1">
                  <c:v>79006336.666666672</c:v>
                </c:pt>
                <c:pt idx="2">
                  <c:v>79774441.666666672</c:v>
                </c:pt>
                <c:pt idx="3">
                  <c:v>80550227.716666684</c:v>
                </c:pt>
                <c:pt idx="4">
                  <c:v>81333771.627166659</c:v>
                </c:pt>
                <c:pt idx="5">
                  <c:v>82125150.976771653</c:v>
                </c:pt>
                <c:pt idx="6">
                  <c:v>82924444.119872719</c:v>
                </c:pt>
                <c:pt idx="7">
                  <c:v>83731730.194404811</c:v>
                </c:pt>
                <c:pt idx="8">
                  <c:v>84547089.129682183</c:v>
                </c:pt>
                <c:pt idx="9">
                  <c:v>85370601.654312357</c:v>
                </c:pt>
                <c:pt idx="10">
                  <c:v>86202349.304188773</c:v>
                </c:pt>
                <c:pt idx="11">
                  <c:v>87042414.430564031</c:v>
                </c:pt>
                <c:pt idx="12">
                  <c:v>87890880.208202973</c:v>
                </c:pt>
                <c:pt idx="13">
                  <c:v>88747830.643618345</c:v>
                </c:pt>
                <c:pt idx="14">
                  <c:v>89613350.583387896</c:v>
                </c:pt>
                <c:pt idx="15">
                  <c:v>90487525.722555071</c:v>
                </c:pt>
                <c:pt idx="16">
                  <c:v>91370442.61311397</c:v>
                </c:pt>
                <c:pt idx="17">
                  <c:v>92262188.672578439</c:v>
                </c:pt>
                <c:pt idx="18">
                  <c:v>93162852.192637533</c:v>
                </c:pt>
                <c:pt idx="19">
                  <c:v>94072522.347897291</c:v>
                </c:pt>
                <c:pt idx="20">
                  <c:v>94991289.204709575</c:v>
                </c:pt>
                <c:pt idx="21">
                  <c:v>95919243.730090007</c:v>
                </c:pt>
                <c:pt idx="22">
                  <c:v>96856477.800724253</c:v>
                </c:pt>
                <c:pt idx="23">
                  <c:v>97803084.212064832</c:v>
                </c:pt>
                <c:pt idx="24">
                  <c:v>98759156.68751879</c:v>
                </c:pt>
                <c:pt idx="25">
                  <c:v>99724789.887727365</c:v>
                </c:pt>
                <c:pt idx="26">
                  <c:v>100700079.41993794</c:v>
                </c:pt>
                <c:pt idx="27">
                  <c:v>101685121.84747067</c:v>
                </c:pt>
                <c:pt idx="28">
                  <c:v>102680014.6992787</c:v>
                </c:pt>
                <c:pt idx="29">
                  <c:v>103684856.47960483</c:v>
                </c:pt>
                <c:pt idx="30">
                  <c:v>104699746.67773421</c:v>
                </c:pt>
                <c:pt idx="31">
                  <c:v>105724785.77784491</c:v>
                </c:pt>
                <c:pt idx="32">
                  <c:v>106760075.26895668</c:v>
                </c:pt>
                <c:pt idx="33">
                  <c:v>107805717.65497957</c:v>
                </c:pt>
                <c:pt idx="34">
                  <c:v>108861816.46486267</c:v>
                </c:pt>
                <c:pt idx="35">
                  <c:v>109928476.26284467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06C-B141-B2D9-B3A2625F34EA}"/>
            </c:ext>
          </c:extLst>
        </c:ser>
        <c:ser>
          <c:idx val="2"/>
          <c:order val="2"/>
          <c:tx>
            <c:strRef>
              <c:f>'KE HOACH DONG TIEN'!$I$91</c:f>
              <c:strCache>
                <c:ptCount val="1"/>
                <c:pt idx="0">
                  <c:v>LN Ròng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olid"/>
              <a:round/>
            </a:ln>
          </c:spPr>
          <c:marker>
            <c:symbol val="none"/>
          </c:marker>
          <c:cat>
            <c:strRef>
              <c:f>'KE HOACH DONG TIEN'!$F$92:$F$127</c:f>
              <c:strCache>
                <c:ptCount val="36"/>
                <c:pt idx="0">
                  <c:v>T1</c:v>
                </c:pt>
                <c:pt idx="1">
                  <c:v>T2</c:v>
                </c:pt>
                <c:pt idx="2">
                  <c:v>T3</c:v>
                </c:pt>
                <c:pt idx="3">
                  <c:v>T4</c:v>
                </c:pt>
                <c:pt idx="4">
                  <c:v>T5</c:v>
                </c:pt>
                <c:pt idx="5">
                  <c:v>T6</c:v>
                </c:pt>
                <c:pt idx="6">
                  <c:v>T7</c:v>
                </c:pt>
                <c:pt idx="7">
                  <c:v>T8</c:v>
                </c:pt>
                <c:pt idx="8">
                  <c:v>T9</c:v>
                </c:pt>
                <c:pt idx="9">
                  <c:v>T10</c:v>
                </c:pt>
                <c:pt idx="10">
                  <c:v>T11</c:v>
                </c:pt>
                <c:pt idx="11">
                  <c:v>T12</c:v>
                </c:pt>
                <c:pt idx="12">
                  <c:v>T13</c:v>
                </c:pt>
                <c:pt idx="13">
                  <c:v>T14</c:v>
                </c:pt>
                <c:pt idx="14">
                  <c:v>T15</c:v>
                </c:pt>
                <c:pt idx="15">
                  <c:v>T16</c:v>
                </c:pt>
                <c:pt idx="16">
                  <c:v>T17</c:v>
                </c:pt>
                <c:pt idx="17">
                  <c:v>T18</c:v>
                </c:pt>
                <c:pt idx="18">
                  <c:v>T19</c:v>
                </c:pt>
                <c:pt idx="19">
                  <c:v>T20</c:v>
                </c:pt>
                <c:pt idx="20">
                  <c:v>T21</c:v>
                </c:pt>
                <c:pt idx="21">
                  <c:v>T22</c:v>
                </c:pt>
                <c:pt idx="22">
                  <c:v>T23</c:v>
                </c:pt>
                <c:pt idx="23">
                  <c:v>T24</c:v>
                </c:pt>
                <c:pt idx="24">
                  <c:v>T25</c:v>
                </c:pt>
                <c:pt idx="25">
                  <c:v>T26</c:v>
                </c:pt>
                <c:pt idx="26">
                  <c:v>T27</c:v>
                </c:pt>
                <c:pt idx="27">
                  <c:v>T28</c:v>
                </c:pt>
                <c:pt idx="28">
                  <c:v>T29</c:v>
                </c:pt>
                <c:pt idx="29">
                  <c:v>T30</c:v>
                </c:pt>
                <c:pt idx="30">
                  <c:v>T31</c:v>
                </c:pt>
                <c:pt idx="31">
                  <c:v>T32</c:v>
                </c:pt>
                <c:pt idx="32">
                  <c:v>T33</c:v>
                </c:pt>
                <c:pt idx="33">
                  <c:v>T34</c:v>
                </c:pt>
                <c:pt idx="34">
                  <c:v>T35</c:v>
                </c:pt>
                <c:pt idx="35">
                  <c:v>T36</c:v>
                </c:pt>
              </c:strCache>
            </c:strRef>
          </c:cat>
          <c:val>
            <c:numRef>
              <c:f>'KE HOACH DONG TIEN'!$I$92:$I$127</c:f>
              <c:numCache>
                <c:formatCode>_-* #,##0\ _₫_-;\-* #,##0\ _₫_-;_-* "-"\ _₫_-;_-@_-</c:formatCode>
                <c:ptCount val="36"/>
                <c:pt idx="0">
                  <c:v>19254163.333333332</c:v>
                </c:pt>
                <c:pt idx="1">
                  <c:v>19468663.333333332</c:v>
                </c:pt>
                <c:pt idx="2">
                  <c:v>19685308.333333332</c:v>
                </c:pt>
                <c:pt idx="3">
                  <c:v>19904119.78333332</c:v>
                </c:pt>
                <c:pt idx="4">
                  <c:v>20125119.347833339</c:v>
                </c:pt>
                <c:pt idx="5">
                  <c:v>20348328.90797836</c:v>
                </c:pt>
                <c:pt idx="6">
                  <c:v>20573770.56372479</c:v>
                </c:pt>
                <c:pt idx="7">
                  <c:v>20801466.636028681</c:v>
                </c:pt>
                <c:pt idx="8">
                  <c:v>21031439.669055644</c:v>
                </c:pt>
                <c:pt idx="9">
                  <c:v>21263712.432412852</c:v>
                </c:pt>
                <c:pt idx="10">
                  <c:v>21498307.923403699</c:v>
                </c:pt>
                <c:pt idx="11">
                  <c:v>21735249.369304363</c:v>
                </c:pt>
                <c:pt idx="12">
                  <c:v>21974560.229664106</c:v>
                </c:pt>
                <c:pt idx="13">
                  <c:v>22216264.198627416</c:v>
                </c:pt>
                <c:pt idx="14">
                  <c:v>22460385.207280327</c:v>
                </c:pt>
                <c:pt idx="15">
                  <c:v>22706947.426019821</c:v>
                </c:pt>
                <c:pt idx="16">
                  <c:v>22955975.266946677</c:v>
                </c:pt>
                <c:pt idx="17">
                  <c:v>23207493.386282805</c:v>
                </c:pt>
                <c:pt idx="18">
                  <c:v>23461526.686812315</c:v>
                </c:pt>
                <c:pt idx="19">
                  <c:v>23718100.320347074</c:v>
                </c:pt>
                <c:pt idx="20">
                  <c:v>23977239.69021723</c:v>
                </c:pt>
                <c:pt idx="21">
                  <c:v>24238970.453786064</c:v>
                </c:pt>
                <c:pt idx="22">
                  <c:v>24503318.524990592</c:v>
                </c:pt>
                <c:pt idx="23">
                  <c:v>24770310.076907162</c:v>
                </c:pt>
                <c:pt idx="24">
                  <c:v>25039971.544342939</c:v>
                </c:pt>
                <c:pt idx="25">
                  <c:v>25312329.626452986</c:v>
                </c:pt>
                <c:pt idx="26">
                  <c:v>25587411.28938422</c:v>
                </c:pt>
                <c:pt idx="27">
                  <c:v>25865243.768944699</c:v>
                </c:pt>
                <c:pt idx="28">
                  <c:v>26145854.573300827</c:v>
                </c:pt>
                <c:pt idx="29">
                  <c:v>26429271.485700507</c:v>
                </c:pt>
                <c:pt idx="30">
                  <c:v>26715522.567224164</c:v>
                </c:pt>
                <c:pt idx="31">
                  <c:v>27004636.159563068</c:v>
                </c:pt>
                <c:pt idx="32">
                  <c:v>27296640.887825374</c:v>
                </c:pt>
                <c:pt idx="33">
                  <c:v>27591565.6633703</c:v>
                </c:pt>
                <c:pt idx="34">
                  <c:v>27889439.686670695</c:v>
                </c:pt>
                <c:pt idx="35">
                  <c:v>28190292.450204033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6C-B141-B2D9-B3A2625F34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35023871"/>
        <c:axId val="933620223"/>
      </c:lineChart>
      <c:catAx>
        <c:axId val="935023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VN"/>
          </a:p>
        </c:txPr>
        <c:crossAx val="933620223"/>
        <c:crosses val="autoZero"/>
        <c:auto val="1"/>
        <c:lblAlgn val="ctr"/>
        <c:lblOffset val="100"/>
        <c:noMultiLvlLbl val="0"/>
      </c:catAx>
      <c:valAx>
        <c:axId val="933620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_-* #,##0\ _₫_-;\-* #,##0\ _₫_-;_-* &quot;-&quot;\ _₫_-;_-@_-" sourceLinked="1"/>
        <c:majorTickMark val="none"/>
        <c:minorTickMark val="none"/>
        <c:tickLblPos val="nextTo"/>
        <c:spPr>
          <a:noFill/>
          <a:ln>
            <a:noFill/>
            <a:prstDash val="solid"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VN"/>
          </a:p>
        </c:txPr>
        <c:crossAx val="935023871"/>
        <c:crosses val="autoZero"/>
        <c:crossBetween val="between"/>
      </c:valAx>
    </c:plotArea>
    <c:legend>
      <c:legendPos val="b"/>
      <c:overlay val="0"/>
      <c:spPr>
        <a:noFill/>
        <a:ln>
          <a:noFill/>
          <a:prstDash val="solid"/>
        </a:ln>
      </c:spPr>
      <c:txPr>
        <a:bodyPr rot="0" spcFirstLastPara="1" vertOverflow="ellipsis" vert="horz" wrap="square" anchor="ctr" anchorCtr="1"/>
        <a:lstStyle/>
        <a:p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VN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685987</xdr:colOff>
      <xdr:row>71</xdr:row>
      <xdr:rowOff>27810</xdr:rowOff>
    </xdr:from>
    <xdr:to>
      <xdr:col>8</xdr:col>
      <xdr:colOff>0</xdr:colOff>
      <xdr:row>89</xdr:row>
      <xdr:rowOff>105308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2630DE-9091-944B-80D3-342C721892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tigravity/excell%20antigravity/KE-HOACH-DONG-TIEN-MO-QUAN-THAY-LEHUUTRI-2026-pb3-2.xlsx" TargetMode="External"/><Relationship Id="rId2" Type="http://schemas.openxmlformats.org/officeDocument/2006/relationships/externalLinkPath" Target="/Users/letri/antigravity/excell%20antigravity/KE-HOACH-DONG-TIEN-MO-QUAN-THAY-LEHUUTRI-2026-pb3-2.xlsx" TargetMode="External"/><Relationship Id="rId1" Type="http://schemas.openxmlformats.org/officeDocument/2006/relationships/externalLinkPath" Target="/Users/letri/antigravity/excell%20antigravity/KE-HOACH-DONG-TIEN-MO-QUAN-THAY-LEHUUTRI-2026-pb3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ANG CHỦ"/>
      <sheetName val="MENU WECHA"/>
      <sheetName val="CHI PHI DAU TU"/>
      <sheetName val="KE HOACH DONG TIEN"/>
      <sheetName val="QUAN TRI DT DA KENH"/>
      <sheetName val="WECHA_BAN_HANG_SP"/>
      <sheetName val="WECHA_NHAN_SU_3_CA"/>
      <sheetName val="WECHA_CHI_PHI_THANG"/>
      <sheetName val="WECHA_TONG_QUAN"/>
      <sheetName val="WECHA_HUONG_DAN"/>
      <sheetName val="WECHA_THAM_SO"/>
      <sheetName val="WECHA_BAN_HANG_THUC_TE"/>
      <sheetName val="WECHA_THU_CHI_THUC_TE"/>
      <sheetName val="WECHA_DONG_CA"/>
      <sheetName val="WECHA_KHO_NVL"/>
      <sheetName val="WECHA_GIAO_DICH_KHO"/>
      <sheetName val="WECHA_DINH_LUONG"/>
      <sheetName val="WECHA_HIEU_QUA_SAN_PHAM"/>
      <sheetName val="WECHA_MUA_HANG_NCC"/>
      <sheetName val="WECHA_BAO_TRI_ATTP"/>
      <sheetName val="WECHA_HO_SO_NHAN_SU"/>
      <sheetName val="WECHA_CHAM_CONG_KPI"/>
      <sheetName val="WECHA_KPI_NHAN_SU"/>
      <sheetName val="WECHA_VAN_HOA_NHAN_SU"/>
      <sheetName val="WECHA_CHECKLIST_SOP"/>
      <sheetName val="WECHA_KHACH_HANG_MKT"/>
      <sheetName val="WECHA_KE_HOACH_THUC_TE"/>
      <sheetName val="WECHA_CANH_BAO"/>
      <sheetName val="WECHA_CEO_DASHBOARD"/>
      <sheetName val="WECHA_PHAT_TRIEN_3_NAM"/>
      <sheetName val="WECHA_NHAP_BAN_HANG"/>
    </sheetNames>
    <sheetDataSet>
      <sheetData sheetId="0"/>
      <sheetData sheetId="1"/>
      <sheetData sheetId="2">
        <row r="2">
          <cell r="E2">
            <v>150000000</v>
          </cell>
        </row>
        <row r="29">
          <cell r="G29">
            <v>2195836.666666667</v>
          </cell>
        </row>
      </sheetData>
      <sheetData sheetId="3">
        <row r="91">
          <cell r="G91" t="str">
            <v>Doanh thu</v>
          </cell>
          <cell r="H91" t="str">
            <v>Tổng Chi phí</v>
          </cell>
          <cell r="I91" t="str">
            <v>LN Ròng</v>
          </cell>
        </row>
        <row r="92">
          <cell r="F92" t="str">
            <v>T1</v>
          </cell>
          <cell r="G92">
            <v>97500000</v>
          </cell>
          <cell r="H92">
            <v>78245836.666666672</v>
          </cell>
          <cell r="I92">
            <v>19254163.333333332</v>
          </cell>
        </row>
        <row r="93">
          <cell r="F93" t="str">
            <v>T2</v>
          </cell>
          <cell r="G93">
            <v>98475000</v>
          </cell>
          <cell r="H93">
            <v>79006336.666666672</v>
          </cell>
          <cell r="I93">
            <v>19468663.333333332</v>
          </cell>
        </row>
        <row r="94">
          <cell r="F94" t="str">
            <v>T3</v>
          </cell>
          <cell r="G94">
            <v>99459750</v>
          </cell>
          <cell r="H94">
            <v>79774441.666666672</v>
          </cell>
          <cell r="I94">
            <v>19685308.333333332</v>
          </cell>
        </row>
        <row r="95">
          <cell r="F95" t="str">
            <v>T4</v>
          </cell>
          <cell r="G95">
            <v>100454347.5</v>
          </cell>
          <cell r="H95">
            <v>80550227.716666684</v>
          </cell>
          <cell r="I95">
            <v>19904119.78333332</v>
          </cell>
        </row>
        <row r="96">
          <cell r="F96" t="str">
            <v>T5</v>
          </cell>
          <cell r="G96">
            <v>101458890.97499999</v>
          </cell>
          <cell r="H96">
            <v>81333771.627166659</v>
          </cell>
          <cell r="I96">
            <v>20125119.347833339</v>
          </cell>
        </row>
        <row r="97">
          <cell r="F97" t="str">
            <v>T6</v>
          </cell>
          <cell r="G97">
            <v>102473479.88475001</v>
          </cell>
          <cell r="H97">
            <v>82125150.976771653</v>
          </cell>
          <cell r="I97">
            <v>20348328.90797836</v>
          </cell>
        </row>
        <row r="98">
          <cell r="F98" t="str">
            <v>T7</v>
          </cell>
          <cell r="G98">
            <v>103498214.68359751</v>
          </cell>
          <cell r="H98">
            <v>82924444.119872719</v>
          </cell>
          <cell r="I98">
            <v>20573770.56372479</v>
          </cell>
        </row>
        <row r="99">
          <cell r="F99" t="str">
            <v>T8</v>
          </cell>
          <cell r="G99">
            <v>104533196.83043349</v>
          </cell>
          <cell r="H99">
            <v>83731730.194404811</v>
          </cell>
          <cell r="I99">
            <v>20801466.636028681</v>
          </cell>
        </row>
        <row r="100">
          <cell r="F100" t="str">
            <v>T9</v>
          </cell>
          <cell r="G100">
            <v>105578528.79873782</v>
          </cell>
          <cell r="H100">
            <v>84547089.129682183</v>
          </cell>
          <cell r="I100">
            <v>21031439.669055644</v>
          </cell>
        </row>
        <row r="101">
          <cell r="F101" t="str">
            <v>T10</v>
          </cell>
          <cell r="G101">
            <v>106634314.08672521</v>
          </cell>
          <cell r="H101">
            <v>85370601.654312357</v>
          </cell>
          <cell r="I101">
            <v>21263712.432412852</v>
          </cell>
        </row>
        <row r="102">
          <cell r="F102" t="str">
            <v>T11</v>
          </cell>
          <cell r="G102">
            <v>107700657.22759247</v>
          </cell>
          <cell r="H102">
            <v>86202349.304188773</v>
          </cell>
          <cell r="I102">
            <v>21498307.923403699</v>
          </cell>
        </row>
        <row r="103">
          <cell r="F103" t="str">
            <v>T12</v>
          </cell>
          <cell r="G103">
            <v>108777663.79986839</v>
          </cell>
          <cell r="H103">
            <v>87042414.430564031</v>
          </cell>
          <cell r="I103">
            <v>21735249.369304363</v>
          </cell>
        </row>
        <row r="104">
          <cell r="F104" t="str">
            <v>T13</v>
          </cell>
          <cell r="G104">
            <v>109865440.43786708</v>
          </cell>
          <cell r="H104">
            <v>87890880.208202973</v>
          </cell>
          <cell r="I104">
            <v>21974560.229664106</v>
          </cell>
        </row>
        <row r="105">
          <cell r="F105" t="str">
            <v>T14</v>
          </cell>
          <cell r="G105">
            <v>110964094.84224576</v>
          </cell>
          <cell r="H105">
            <v>88747830.643618345</v>
          </cell>
          <cell r="I105">
            <v>22216264.198627416</v>
          </cell>
        </row>
        <row r="106">
          <cell r="F106" t="str">
            <v>T15</v>
          </cell>
          <cell r="G106">
            <v>112073735.79066822</v>
          </cell>
          <cell r="H106">
            <v>89613350.583387896</v>
          </cell>
          <cell r="I106">
            <v>22460385.207280327</v>
          </cell>
        </row>
        <row r="107">
          <cell r="F107" t="str">
            <v>T16</v>
          </cell>
          <cell r="G107">
            <v>113194473.14857489</v>
          </cell>
          <cell r="H107">
            <v>90487525.722555071</v>
          </cell>
          <cell r="I107">
            <v>22706947.426019821</v>
          </cell>
        </row>
        <row r="108">
          <cell r="F108" t="str">
            <v>T17</v>
          </cell>
          <cell r="G108">
            <v>114326417.88006064</v>
          </cell>
          <cell r="H108">
            <v>91370442.61311397</v>
          </cell>
          <cell r="I108">
            <v>22955975.266946677</v>
          </cell>
        </row>
        <row r="109">
          <cell r="F109" t="str">
            <v>T18</v>
          </cell>
          <cell r="G109">
            <v>115469682.05886124</v>
          </cell>
          <cell r="H109">
            <v>92262188.672578439</v>
          </cell>
          <cell r="I109">
            <v>23207493.386282805</v>
          </cell>
        </row>
        <row r="110">
          <cell r="F110" t="str">
            <v>T19</v>
          </cell>
          <cell r="G110">
            <v>116624378.87944984</v>
          </cell>
          <cell r="H110">
            <v>93162852.192637533</v>
          </cell>
          <cell r="I110">
            <v>23461526.686812315</v>
          </cell>
        </row>
        <row r="111">
          <cell r="F111" t="str">
            <v>T20</v>
          </cell>
          <cell r="G111">
            <v>117790622.66824436</v>
          </cell>
          <cell r="H111">
            <v>94072522.347897291</v>
          </cell>
          <cell r="I111">
            <v>23718100.320347074</v>
          </cell>
        </row>
        <row r="112">
          <cell r="F112" t="str">
            <v>T21</v>
          </cell>
          <cell r="G112">
            <v>118968528.8949268</v>
          </cell>
          <cell r="H112">
            <v>94991289.204709575</v>
          </cell>
          <cell r="I112">
            <v>23977239.69021723</v>
          </cell>
        </row>
        <row r="113">
          <cell r="F113" t="str">
            <v>T22</v>
          </cell>
          <cell r="G113">
            <v>120158214.18387607</v>
          </cell>
          <cell r="H113">
            <v>95919243.730090007</v>
          </cell>
          <cell r="I113">
            <v>24238970.453786064</v>
          </cell>
        </row>
        <row r="114">
          <cell r="F114" t="str">
            <v>T23</v>
          </cell>
          <cell r="G114">
            <v>121359796.32571484</v>
          </cell>
          <cell r="H114">
            <v>96856477.800724253</v>
          </cell>
          <cell r="I114">
            <v>24503318.524990592</v>
          </cell>
        </row>
        <row r="115">
          <cell r="F115" t="str">
            <v>T24</v>
          </cell>
          <cell r="G115">
            <v>122573394.28897199</v>
          </cell>
          <cell r="H115">
            <v>97803084.212064832</v>
          </cell>
          <cell r="I115">
            <v>24770310.076907162</v>
          </cell>
        </row>
        <row r="116">
          <cell r="F116" t="str">
            <v>T25</v>
          </cell>
          <cell r="G116">
            <v>123799128.23186173</v>
          </cell>
          <cell r="H116">
            <v>98759156.68751879</v>
          </cell>
          <cell r="I116">
            <v>25039971.544342939</v>
          </cell>
        </row>
        <row r="117">
          <cell r="F117" t="str">
            <v>T26</v>
          </cell>
          <cell r="G117">
            <v>125037119.51418035</v>
          </cell>
          <cell r="H117">
            <v>99724789.887727365</v>
          </cell>
          <cell r="I117">
            <v>25312329.626452986</v>
          </cell>
        </row>
        <row r="118">
          <cell r="F118" t="str">
            <v>T27</v>
          </cell>
          <cell r="G118">
            <v>126287490.70932215</v>
          </cell>
          <cell r="H118">
            <v>100700079.41993794</v>
          </cell>
          <cell r="I118">
            <v>25587411.28938422</v>
          </cell>
        </row>
        <row r="119">
          <cell r="F119" t="str">
            <v>T28</v>
          </cell>
          <cell r="G119">
            <v>127550365.61641537</v>
          </cell>
          <cell r="H119">
            <v>101685121.84747067</v>
          </cell>
          <cell r="I119">
            <v>25865243.768944699</v>
          </cell>
        </row>
        <row r="120">
          <cell r="F120" t="str">
            <v>T29</v>
          </cell>
          <cell r="G120">
            <v>128825869.27257952</v>
          </cell>
          <cell r="H120">
            <v>102680014.6992787</v>
          </cell>
          <cell r="I120">
            <v>26145854.573300827</v>
          </cell>
        </row>
        <row r="121">
          <cell r="F121" t="str">
            <v>T30</v>
          </cell>
          <cell r="G121">
            <v>130114127.96530533</v>
          </cell>
          <cell r="H121">
            <v>103684856.47960483</v>
          </cell>
          <cell r="I121">
            <v>26429271.485700507</v>
          </cell>
        </row>
        <row r="122">
          <cell r="F122" t="str">
            <v>T31</v>
          </cell>
          <cell r="G122">
            <v>131415269.24495837</v>
          </cell>
          <cell r="H122">
            <v>104699746.67773421</v>
          </cell>
          <cell r="I122">
            <v>26715522.567224164</v>
          </cell>
        </row>
        <row r="123">
          <cell r="F123" t="str">
            <v>T32</v>
          </cell>
          <cell r="G123">
            <v>132729421.93740797</v>
          </cell>
          <cell r="H123">
            <v>105724785.77784491</v>
          </cell>
          <cell r="I123">
            <v>27004636.159563068</v>
          </cell>
        </row>
        <row r="124">
          <cell r="F124" t="str">
            <v>T33</v>
          </cell>
          <cell r="G124">
            <v>134056716.15678205</v>
          </cell>
          <cell r="H124">
            <v>106760075.26895668</v>
          </cell>
          <cell r="I124">
            <v>27296640.887825374</v>
          </cell>
        </row>
        <row r="125">
          <cell r="F125" t="str">
            <v>T34</v>
          </cell>
          <cell r="G125">
            <v>135397283.31834987</v>
          </cell>
          <cell r="H125">
            <v>107805717.65497957</v>
          </cell>
          <cell r="I125">
            <v>27591565.6633703</v>
          </cell>
        </row>
        <row r="126">
          <cell r="F126" t="str">
            <v>T35</v>
          </cell>
          <cell r="G126">
            <v>136751256.15153337</v>
          </cell>
          <cell r="H126">
            <v>108861816.46486267</v>
          </cell>
          <cell r="I126">
            <v>27889439.686670695</v>
          </cell>
        </row>
        <row r="127">
          <cell r="F127" t="str">
            <v>T36</v>
          </cell>
          <cell r="G127">
            <v>138118768.7130487</v>
          </cell>
          <cell r="H127">
            <v>109928476.26284467</v>
          </cell>
          <cell r="I127">
            <v>28190292.450204033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76827D-D643-9A48-A013-233CF8100C9B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6166c75a-c057-4042-b1a1-d07098e52880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50FE-0CE7-5843-99EA-870BECDE840C}">
  <dimension ref="A1:BO1000"/>
  <sheetViews>
    <sheetView topLeftCell="A98" zoomScaleNormal="100" workbookViewId="0">
      <selection activeCell="L8" sqref="L8"/>
    </sheetView>
  </sheetViews>
  <sheetFormatPr baseColWidth="10" defaultColWidth="14.5" defaultRowHeight="15" customHeight="1" outlineLevelRow="1" outlineLevelCol="1" x14ac:dyDescent="0.2"/>
  <cols>
    <col min="1" max="1" width="7.5" style="83" customWidth="1" outlineLevel="1"/>
    <col min="2" max="3" width="16.6640625" style="83" customWidth="1" outlineLevel="1"/>
    <col min="4" max="4" width="20" style="83" customWidth="1" outlineLevel="1"/>
    <col min="5" max="5" width="9.1640625" style="83" customWidth="1" outlineLevel="1"/>
    <col min="6" max="6" width="16.6640625" style="83" customWidth="1" outlineLevel="1"/>
    <col min="7" max="7" width="24.5" style="83" customWidth="1"/>
    <col min="8" max="8" width="18.33203125" style="83" customWidth="1"/>
    <col min="9" max="9" width="12.5" style="83" customWidth="1"/>
    <col min="10" max="10" width="13" style="83" customWidth="1"/>
    <col min="11" max="11" width="13.33203125" style="83" customWidth="1"/>
    <col min="12" max="13" width="20" style="83" customWidth="1"/>
    <col min="14" max="14" width="17.5" style="83" customWidth="1"/>
    <col min="15" max="15" width="14.1640625" style="83" customWidth="1"/>
    <col min="16" max="16" width="19.1640625" style="83" customWidth="1"/>
    <col min="17" max="20" width="10.6640625" style="83" hidden="1" customWidth="1"/>
    <col min="21" max="23" width="10.6640625" style="83" customWidth="1"/>
    <col min="24" max="24" width="12.33203125" style="83" customWidth="1"/>
    <col min="25" max="25" width="12.1640625" style="83" customWidth="1"/>
    <col min="26" max="26" width="12.5" style="83" customWidth="1"/>
    <col min="27" max="28" width="10.6640625" style="83" customWidth="1"/>
    <col min="29" max="30" width="10.6640625" style="83" hidden="1" customWidth="1"/>
    <col min="31" max="33" width="10.6640625" style="83" customWidth="1"/>
    <col min="34" max="34" width="10.6640625" style="83" hidden="1" customWidth="1"/>
    <col min="35" max="36" width="10.6640625" style="83" customWidth="1"/>
    <col min="37" max="37" width="13.5" style="83" customWidth="1"/>
    <col min="38" max="40" width="10.6640625" style="83" customWidth="1"/>
    <col min="41" max="41" width="10.6640625" style="83" hidden="1" customWidth="1"/>
    <col min="42" max="42" width="10.6640625" style="83" customWidth="1"/>
    <col min="43" max="43" width="13" style="83" customWidth="1"/>
    <col min="44" max="44" width="12.5" style="83" customWidth="1"/>
    <col min="45" max="45" width="19.5" style="83" customWidth="1"/>
    <col min="46" max="46" width="12.83203125" style="83" customWidth="1"/>
    <col min="47" max="47" width="10.6640625" style="83" customWidth="1"/>
    <col min="48" max="48" width="14.1640625" style="83" customWidth="1"/>
    <col min="49" max="50" width="10.6640625" style="83" hidden="1" customWidth="1"/>
    <col min="51" max="51" width="1.5" style="83" hidden="1" customWidth="1"/>
    <col min="52" max="52" width="19.5" style="83" customWidth="1"/>
    <col min="53" max="53" width="14.5" style="83" customWidth="1"/>
    <col min="54" max="54" width="12.33203125" style="83" customWidth="1"/>
    <col min="55" max="55" width="13" style="83" customWidth="1"/>
    <col min="56" max="56" width="15.1640625" style="83" bestFit="1" customWidth="1"/>
    <col min="57" max="57" width="14.5" style="83" customWidth="1"/>
    <col min="58" max="58" width="22.1640625" style="83" customWidth="1"/>
    <col min="59" max="62" width="14.5" style="83" customWidth="1"/>
    <col min="63" max="63" width="31.83203125" style="83" customWidth="1"/>
    <col min="64" max="65" width="14.5" style="83" customWidth="1"/>
    <col min="66" max="66" width="15.1640625" style="83" bestFit="1" customWidth="1"/>
    <col min="67" max="256" width="14.5" style="83" customWidth="1"/>
    <col min="257" max="265" width="10.6640625" style="83" customWidth="1"/>
    <col min="266" max="266" width="13" style="83" customWidth="1"/>
    <col min="267" max="267" width="9.5" style="83" customWidth="1"/>
    <col min="268" max="279" width="10.6640625" style="83" customWidth="1"/>
    <col min="280" max="280" width="12.33203125" style="83" customWidth="1"/>
    <col min="281" max="281" width="12.1640625" style="83" customWidth="1"/>
    <col min="282" max="282" width="12.5" style="83" customWidth="1"/>
    <col min="283" max="308" width="10.6640625" style="83" customWidth="1"/>
    <col min="309" max="309" width="14.5" style="83" customWidth="1"/>
    <col min="310" max="310" width="8.5" style="83" customWidth="1"/>
    <col min="311" max="311" width="7" style="83" customWidth="1"/>
    <col min="312" max="512" width="14.5" style="83" customWidth="1"/>
    <col min="513" max="521" width="10.6640625" style="83" customWidth="1"/>
    <col min="522" max="522" width="13" style="83" customWidth="1"/>
    <col min="523" max="523" width="9.5" style="83" customWidth="1"/>
    <col min="524" max="535" width="10.6640625" style="83" customWidth="1"/>
    <col min="536" max="536" width="12.33203125" style="83" customWidth="1"/>
    <col min="537" max="537" width="12.1640625" style="83" customWidth="1"/>
    <col min="538" max="538" width="12.5" style="83" customWidth="1"/>
    <col min="539" max="564" width="10.6640625" style="83" customWidth="1"/>
    <col min="565" max="565" width="14.5" style="83" customWidth="1"/>
    <col min="566" max="566" width="8.5" style="83" customWidth="1"/>
    <col min="567" max="567" width="7" style="83" customWidth="1"/>
    <col min="568" max="768" width="14.5" style="83" customWidth="1"/>
    <col min="769" max="777" width="10.6640625" style="83" customWidth="1"/>
    <col min="778" max="778" width="13" style="83" customWidth="1"/>
    <col min="779" max="779" width="9.5" style="83" customWidth="1"/>
    <col min="780" max="791" width="10.6640625" style="83" customWidth="1"/>
    <col min="792" max="792" width="12.33203125" style="83" customWidth="1"/>
    <col min="793" max="793" width="12.1640625" style="83" customWidth="1"/>
    <col min="794" max="794" width="12.5" style="83" customWidth="1"/>
    <col min="795" max="820" width="10.6640625" style="83" customWidth="1"/>
    <col min="821" max="821" width="14.5" style="83" customWidth="1"/>
    <col min="822" max="822" width="8.5" style="83" customWidth="1"/>
    <col min="823" max="823" width="7" style="83" customWidth="1"/>
    <col min="824" max="1024" width="14.5" style="83" customWidth="1"/>
    <col min="1025" max="1033" width="10.6640625" style="83" customWidth="1"/>
    <col min="1034" max="1034" width="13" style="83" customWidth="1"/>
    <col min="1035" max="1035" width="9.5" style="83" customWidth="1"/>
    <col min="1036" max="1047" width="10.6640625" style="83" customWidth="1"/>
    <col min="1048" max="1048" width="12.33203125" style="83" customWidth="1"/>
    <col min="1049" max="1049" width="12.1640625" style="83" customWidth="1"/>
    <col min="1050" max="1050" width="12.5" style="83" customWidth="1"/>
    <col min="1051" max="1076" width="10.6640625" style="83" customWidth="1"/>
    <col min="1077" max="1077" width="14.5" style="83" customWidth="1"/>
    <col min="1078" max="1078" width="8.5" style="83" customWidth="1"/>
    <col min="1079" max="1079" width="7" style="83" customWidth="1"/>
    <col min="1080" max="1280" width="14.5" style="83" customWidth="1"/>
    <col min="1281" max="1289" width="10.6640625" style="83" customWidth="1"/>
    <col min="1290" max="1290" width="13" style="83" customWidth="1"/>
    <col min="1291" max="1291" width="9.5" style="83" customWidth="1"/>
    <col min="1292" max="1303" width="10.6640625" style="83" customWidth="1"/>
    <col min="1304" max="1304" width="12.33203125" style="83" customWidth="1"/>
    <col min="1305" max="1305" width="12.1640625" style="83" customWidth="1"/>
    <col min="1306" max="1306" width="12.5" style="83" customWidth="1"/>
    <col min="1307" max="1332" width="10.6640625" style="83" customWidth="1"/>
    <col min="1333" max="1333" width="14.5" style="83" customWidth="1"/>
    <col min="1334" max="1334" width="8.5" style="83" customWidth="1"/>
    <col min="1335" max="1335" width="7" style="83" customWidth="1"/>
    <col min="1336" max="1536" width="14.5" style="83" customWidth="1"/>
    <col min="1537" max="1545" width="10.6640625" style="83" customWidth="1"/>
    <col min="1546" max="1546" width="13" style="83" customWidth="1"/>
    <col min="1547" max="1547" width="9.5" style="83" customWidth="1"/>
    <col min="1548" max="1559" width="10.6640625" style="83" customWidth="1"/>
    <col min="1560" max="1560" width="12.33203125" style="83" customWidth="1"/>
    <col min="1561" max="1561" width="12.1640625" style="83" customWidth="1"/>
    <col min="1562" max="1562" width="12.5" style="83" customWidth="1"/>
    <col min="1563" max="1588" width="10.6640625" style="83" customWidth="1"/>
    <col min="1589" max="1589" width="14.5" style="83" customWidth="1"/>
    <col min="1590" max="1590" width="8.5" style="83" customWidth="1"/>
    <col min="1591" max="1591" width="7" style="83" customWidth="1"/>
    <col min="1592" max="1792" width="14.5" style="83" customWidth="1"/>
    <col min="1793" max="1801" width="10.6640625" style="83" customWidth="1"/>
    <col min="1802" max="1802" width="13" style="83" customWidth="1"/>
    <col min="1803" max="1803" width="9.5" style="83" customWidth="1"/>
    <col min="1804" max="1815" width="10.6640625" style="83" customWidth="1"/>
    <col min="1816" max="1816" width="12.33203125" style="83" customWidth="1"/>
    <col min="1817" max="1817" width="12.1640625" style="83" customWidth="1"/>
    <col min="1818" max="1818" width="12.5" style="83" customWidth="1"/>
    <col min="1819" max="1844" width="10.6640625" style="83" customWidth="1"/>
    <col min="1845" max="1845" width="14.5" style="83" customWidth="1"/>
    <col min="1846" max="1846" width="8.5" style="83" customWidth="1"/>
    <col min="1847" max="1847" width="7" style="83" customWidth="1"/>
    <col min="1848" max="2048" width="14.5" style="83" customWidth="1"/>
    <col min="2049" max="2057" width="10.6640625" style="83" customWidth="1"/>
    <col min="2058" max="2058" width="13" style="83" customWidth="1"/>
    <col min="2059" max="2059" width="9.5" style="83" customWidth="1"/>
    <col min="2060" max="2071" width="10.6640625" style="83" customWidth="1"/>
    <col min="2072" max="2072" width="12.33203125" style="83" customWidth="1"/>
    <col min="2073" max="2073" width="12.1640625" style="83" customWidth="1"/>
    <col min="2074" max="2074" width="12.5" style="83" customWidth="1"/>
    <col min="2075" max="2100" width="10.6640625" style="83" customWidth="1"/>
    <col min="2101" max="2101" width="14.5" style="83" customWidth="1"/>
    <col min="2102" max="2102" width="8.5" style="83" customWidth="1"/>
    <col min="2103" max="2103" width="7" style="83" customWidth="1"/>
    <col min="2104" max="2304" width="14.5" style="83" customWidth="1"/>
    <col min="2305" max="2313" width="10.6640625" style="83" customWidth="1"/>
    <col min="2314" max="2314" width="13" style="83" customWidth="1"/>
    <col min="2315" max="2315" width="9.5" style="83" customWidth="1"/>
    <col min="2316" max="2327" width="10.6640625" style="83" customWidth="1"/>
    <col min="2328" max="2328" width="12.33203125" style="83" customWidth="1"/>
    <col min="2329" max="2329" width="12.1640625" style="83" customWidth="1"/>
    <col min="2330" max="2330" width="12.5" style="83" customWidth="1"/>
    <col min="2331" max="2356" width="10.6640625" style="83" customWidth="1"/>
    <col min="2357" max="2357" width="14.5" style="83" customWidth="1"/>
    <col min="2358" max="2358" width="8.5" style="83" customWidth="1"/>
    <col min="2359" max="2359" width="7" style="83" customWidth="1"/>
    <col min="2360" max="2560" width="14.5" style="83" customWidth="1"/>
    <col min="2561" max="2569" width="10.6640625" style="83" customWidth="1"/>
    <col min="2570" max="2570" width="13" style="83" customWidth="1"/>
    <col min="2571" max="2571" width="9.5" style="83" customWidth="1"/>
    <col min="2572" max="2583" width="10.6640625" style="83" customWidth="1"/>
    <col min="2584" max="2584" width="12.33203125" style="83" customWidth="1"/>
    <col min="2585" max="2585" width="12.1640625" style="83" customWidth="1"/>
    <col min="2586" max="2586" width="12.5" style="83" customWidth="1"/>
    <col min="2587" max="2612" width="10.6640625" style="83" customWidth="1"/>
    <col min="2613" max="2613" width="14.5" style="83" customWidth="1"/>
    <col min="2614" max="2614" width="8.5" style="83" customWidth="1"/>
    <col min="2615" max="2615" width="7" style="83" customWidth="1"/>
    <col min="2616" max="2816" width="14.5" style="83" customWidth="1"/>
    <col min="2817" max="2825" width="10.6640625" style="83" customWidth="1"/>
    <col min="2826" max="2826" width="13" style="83" customWidth="1"/>
    <col min="2827" max="2827" width="9.5" style="83" customWidth="1"/>
    <col min="2828" max="2839" width="10.6640625" style="83" customWidth="1"/>
    <col min="2840" max="2840" width="12.33203125" style="83" customWidth="1"/>
    <col min="2841" max="2841" width="12.1640625" style="83" customWidth="1"/>
    <col min="2842" max="2842" width="12.5" style="83" customWidth="1"/>
    <col min="2843" max="2868" width="10.6640625" style="83" customWidth="1"/>
    <col min="2869" max="2869" width="14.5" style="83" customWidth="1"/>
    <col min="2870" max="2870" width="8.5" style="83" customWidth="1"/>
    <col min="2871" max="2871" width="7" style="83" customWidth="1"/>
    <col min="2872" max="3072" width="14.5" style="83" customWidth="1"/>
    <col min="3073" max="3081" width="10.6640625" style="83" customWidth="1"/>
    <col min="3082" max="3082" width="13" style="83" customWidth="1"/>
    <col min="3083" max="3083" width="9.5" style="83" customWidth="1"/>
    <col min="3084" max="3095" width="10.6640625" style="83" customWidth="1"/>
    <col min="3096" max="3096" width="12.33203125" style="83" customWidth="1"/>
    <col min="3097" max="3097" width="12.1640625" style="83" customWidth="1"/>
    <col min="3098" max="3098" width="12.5" style="83" customWidth="1"/>
    <col min="3099" max="3124" width="10.6640625" style="83" customWidth="1"/>
    <col min="3125" max="3125" width="14.5" style="83" customWidth="1"/>
    <col min="3126" max="3126" width="8.5" style="83" customWidth="1"/>
    <col min="3127" max="3127" width="7" style="83" customWidth="1"/>
    <col min="3128" max="3328" width="14.5" style="83" customWidth="1"/>
    <col min="3329" max="3337" width="10.6640625" style="83" customWidth="1"/>
    <col min="3338" max="3338" width="13" style="83" customWidth="1"/>
    <col min="3339" max="3339" width="9.5" style="83" customWidth="1"/>
    <col min="3340" max="3351" width="10.6640625" style="83" customWidth="1"/>
    <col min="3352" max="3352" width="12.33203125" style="83" customWidth="1"/>
    <col min="3353" max="3353" width="12.1640625" style="83" customWidth="1"/>
    <col min="3354" max="3354" width="12.5" style="83" customWidth="1"/>
    <col min="3355" max="3380" width="10.6640625" style="83" customWidth="1"/>
    <col min="3381" max="3381" width="14.5" style="83" customWidth="1"/>
    <col min="3382" max="3382" width="8.5" style="83" customWidth="1"/>
    <col min="3383" max="3383" width="7" style="83" customWidth="1"/>
    <col min="3384" max="3584" width="14.5" style="83" customWidth="1"/>
    <col min="3585" max="3593" width="10.6640625" style="83" customWidth="1"/>
    <col min="3594" max="3594" width="13" style="83" customWidth="1"/>
    <col min="3595" max="3595" width="9.5" style="83" customWidth="1"/>
    <col min="3596" max="3607" width="10.6640625" style="83" customWidth="1"/>
    <col min="3608" max="3608" width="12.33203125" style="83" customWidth="1"/>
    <col min="3609" max="3609" width="12.1640625" style="83" customWidth="1"/>
    <col min="3610" max="3610" width="12.5" style="83" customWidth="1"/>
    <col min="3611" max="3636" width="10.6640625" style="83" customWidth="1"/>
    <col min="3637" max="3637" width="14.5" style="83" customWidth="1"/>
    <col min="3638" max="3638" width="8.5" style="83" customWidth="1"/>
    <col min="3639" max="3639" width="7" style="83" customWidth="1"/>
    <col min="3640" max="3840" width="14.5" style="83" customWidth="1"/>
    <col min="3841" max="3849" width="10.6640625" style="83" customWidth="1"/>
    <col min="3850" max="3850" width="13" style="83" customWidth="1"/>
    <col min="3851" max="3851" width="9.5" style="83" customWidth="1"/>
    <col min="3852" max="3863" width="10.6640625" style="83" customWidth="1"/>
    <col min="3864" max="3864" width="12.33203125" style="83" customWidth="1"/>
    <col min="3865" max="3865" width="12.1640625" style="83" customWidth="1"/>
    <col min="3866" max="3866" width="12.5" style="83" customWidth="1"/>
    <col min="3867" max="3892" width="10.6640625" style="83" customWidth="1"/>
    <col min="3893" max="3893" width="14.5" style="83" customWidth="1"/>
    <col min="3894" max="3894" width="8.5" style="83" customWidth="1"/>
    <col min="3895" max="3895" width="7" style="83" customWidth="1"/>
    <col min="3896" max="4096" width="14.5" style="83" customWidth="1"/>
    <col min="4097" max="4105" width="10.6640625" style="83" customWidth="1"/>
    <col min="4106" max="4106" width="13" style="83" customWidth="1"/>
    <col min="4107" max="4107" width="9.5" style="83" customWidth="1"/>
    <col min="4108" max="4119" width="10.6640625" style="83" customWidth="1"/>
    <col min="4120" max="4120" width="12.33203125" style="83" customWidth="1"/>
    <col min="4121" max="4121" width="12.1640625" style="83" customWidth="1"/>
    <col min="4122" max="4122" width="12.5" style="83" customWidth="1"/>
    <col min="4123" max="4148" width="10.6640625" style="83" customWidth="1"/>
    <col min="4149" max="4149" width="14.5" style="83" customWidth="1"/>
    <col min="4150" max="4150" width="8.5" style="83" customWidth="1"/>
    <col min="4151" max="4151" width="7" style="83" customWidth="1"/>
    <col min="4152" max="4352" width="14.5" style="83" customWidth="1"/>
    <col min="4353" max="4361" width="10.6640625" style="83" customWidth="1"/>
    <col min="4362" max="4362" width="13" style="83" customWidth="1"/>
    <col min="4363" max="4363" width="9.5" style="83" customWidth="1"/>
    <col min="4364" max="4375" width="10.6640625" style="83" customWidth="1"/>
    <col min="4376" max="4376" width="12.33203125" style="83" customWidth="1"/>
    <col min="4377" max="4377" width="12.1640625" style="83" customWidth="1"/>
    <col min="4378" max="4378" width="12.5" style="83" customWidth="1"/>
    <col min="4379" max="4404" width="10.6640625" style="83" customWidth="1"/>
    <col min="4405" max="4405" width="14.5" style="83" customWidth="1"/>
    <col min="4406" max="4406" width="8.5" style="83" customWidth="1"/>
    <col min="4407" max="4407" width="7" style="83" customWidth="1"/>
    <col min="4408" max="4608" width="14.5" style="83" customWidth="1"/>
    <col min="4609" max="4617" width="10.6640625" style="83" customWidth="1"/>
    <col min="4618" max="4618" width="13" style="83" customWidth="1"/>
    <col min="4619" max="4619" width="9.5" style="83" customWidth="1"/>
    <col min="4620" max="4631" width="10.6640625" style="83" customWidth="1"/>
    <col min="4632" max="4632" width="12.33203125" style="83" customWidth="1"/>
    <col min="4633" max="4633" width="12.1640625" style="83" customWidth="1"/>
    <col min="4634" max="4634" width="12.5" style="83" customWidth="1"/>
    <col min="4635" max="4660" width="10.6640625" style="83" customWidth="1"/>
    <col min="4661" max="4661" width="14.5" style="83" customWidth="1"/>
    <col min="4662" max="4662" width="8.5" style="83" customWidth="1"/>
    <col min="4663" max="4663" width="7" style="83" customWidth="1"/>
    <col min="4664" max="4864" width="14.5" style="83" customWidth="1"/>
    <col min="4865" max="4873" width="10.6640625" style="83" customWidth="1"/>
    <col min="4874" max="4874" width="13" style="83" customWidth="1"/>
    <col min="4875" max="4875" width="9.5" style="83" customWidth="1"/>
    <col min="4876" max="4887" width="10.6640625" style="83" customWidth="1"/>
    <col min="4888" max="4888" width="12.33203125" style="83" customWidth="1"/>
    <col min="4889" max="4889" width="12.1640625" style="83" customWidth="1"/>
    <col min="4890" max="4890" width="12.5" style="83" customWidth="1"/>
    <col min="4891" max="4916" width="10.6640625" style="83" customWidth="1"/>
    <col min="4917" max="4917" width="14.5" style="83" customWidth="1"/>
    <col min="4918" max="4918" width="8.5" style="83" customWidth="1"/>
    <col min="4919" max="4919" width="7" style="83" customWidth="1"/>
    <col min="4920" max="5120" width="14.5" style="83" customWidth="1"/>
    <col min="5121" max="5129" width="10.6640625" style="83" customWidth="1"/>
    <col min="5130" max="5130" width="13" style="83" customWidth="1"/>
    <col min="5131" max="5131" width="9.5" style="83" customWidth="1"/>
    <col min="5132" max="5143" width="10.6640625" style="83" customWidth="1"/>
    <col min="5144" max="5144" width="12.33203125" style="83" customWidth="1"/>
    <col min="5145" max="5145" width="12.1640625" style="83" customWidth="1"/>
    <col min="5146" max="5146" width="12.5" style="83" customWidth="1"/>
    <col min="5147" max="5172" width="10.6640625" style="83" customWidth="1"/>
    <col min="5173" max="5173" width="14.5" style="83" customWidth="1"/>
    <col min="5174" max="5174" width="8.5" style="83" customWidth="1"/>
    <col min="5175" max="5175" width="7" style="83" customWidth="1"/>
    <col min="5176" max="5376" width="14.5" style="83" customWidth="1"/>
    <col min="5377" max="5385" width="10.6640625" style="83" customWidth="1"/>
    <col min="5386" max="5386" width="13" style="83" customWidth="1"/>
    <col min="5387" max="5387" width="9.5" style="83" customWidth="1"/>
    <col min="5388" max="5399" width="10.6640625" style="83" customWidth="1"/>
    <col min="5400" max="5400" width="12.33203125" style="83" customWidth="1"/>
    <col min="5401" max="5401" width="12.1640625" style="83" customWidth="1"/>
    <col min="5402" max="5402" width="12.5" style="83" customWidth="1"/>
    <col min="5403" max="5428" width="10.6640625" style="83" customWidth="1"/>
    <col min="5429" max="5429" width="14.5" style="83" customWidth="1"/>
    <col min="5430" max="5430" width="8.5" style="83" customWidth="1"/>
    <col min="5431" max="5431" width="7" style="83" customWidth="1"/>
    <col min="5432" max="5632" width="14.5" style="83" customWidth="1"/>
    <col min="5633" max="5641" width="10.6640625" style="83" customWidth="1"/>
    <col min="5642" max="5642" width="13" style="83" customWidth="1"/>
    <col min="5643" max="5643" width="9.5" style="83" customWidth="1"/>
    <col min="5644" max="5655" width="10.6640625" style="83" customWidth="1"/>
    <col min="5656" max="5656" width="12.33203125" style="83" customWidth="1"/>
    <col min="5657" max="5657" width="12.1640625" style="83" customWidth="1"/>
    <col min="5658" max="5658" width="12.5" style="83" customWidth="1"/>
    <col min="5659" max="5684" width="10.6640625" style="83" customWidth="1"/>
    <col min="5685" max="5685" width="14.5" style="83" customWidth="1"/>
    <col min="5686" max="5686" width="8.5" style="83" customWidth="1"/>
    <col min="5687" max="5687" width="7" style="83" customWidth="1"/>
    <col min="5688" max="5888" width="14.5" style="83" customWidth="1"/>
    <col min="5889" max="5897" width="10.6640625" style="83" customWidth="1"/>
    <col min="5898" max="5898" width="13" style="83" customWidth="1"/>
    <col min="5899" max="5899" width="9.5" style="83" customWidth="1"/>
    <col min="5900" max="5911" width="10.6640625" style="83" customWidth="1"/>
    <col min="5912" max="5912" width="12.33203125" style="83" customWidth="1"/>
    <col min="5913" max="5913" width="12.1640625" style="83" customWidth="1"/>
    <col min="5914" max="5914" width="12.5" style="83" customWidth="1"/>
    <col min="5915" max="5940" width="10.6640625" style="83" customWidth="1"/>
    <col min="5941" max="5941" width="14.5" style="83" customWidth="1"/>
    <col min="5942" max="5942" width="8.5" style="83" customWidth="1"/>
    <col min="5943" max="5943" width="7" style="83" customWidth="1"/>
    <col min="5944" max="6144" width="14.5" style="83" customWidth="1"/>
    <col min="6145" max="6153" width="10.6640625" style="83" customWidth="1"/>
    <col min="6154" max="6154" width="13" style="83" customWidth="1"/>
    <col min="6155" max="6155" width="9.5" style="83" customWidth="1"/>
    <col min="6156" max="6167" width="10.6640625" style="83" customWidth="1"/>
    <col min="6168" max="6168" width="12.33203125" style="83" customWidth="1"/>
    <col min="6169" max="6169" width="12.1640625" style="83" customWidth="1"/>
    <col min="6170" max="6170" width="12.5" style="83" customWidth="1"/>
    <col min="6171" max="6196" width="10.6640625" style="83" customWidth="1"/>
    <col min="6197" max="6197" width="14.5" style="83" customWidth="1"/>
    <col min="6198" max="6198" width="8.5" style="83" customWidth="1"/>
    <col min="6199" max="6199" width="7" style="83" customWidth="1"/>
    <col min="6200" max="6400" width="14.5" style="83" customWidth="1"/>
    <col min="6401" max="6409" width="10.6640625" style="83" customWidth="1"/>
    <col min="6410" max="6410" width="13" style="83" customWidth="1"/>
    <col min="6411" max="6411" width="9.5" style="83" customWidth="1"/>
    <col min="6412" max="6423" width="10.6640625" style="83" customWidth="1"/>
    <col min="6424" max="6424" width="12.33203125" style="83" customWidth="1"/>
    <col min="6425" max="6425" width="12.1640625" style="83" customWidth="1"/>
    <col min="6426" max="6426" width="12.5" style="83" customWidth="1"/>
    <col min="6427" max="6452" width="10.6640625" style="83" customWidth="1"/>
    <col min="6453" max="6453" width="14.5" style="83" customWidth="1"/>
    <col min="6454" max="6454" width="8.5" style="83" customWidth="1"/>
    <col min="6455" max="6455" width="7" style="83" customWidth="1"/>
    <col min="6456" max="6656" width="14.5" style="83" customWidth="1"/>
    <col min="6657" max="6665" width="10.6640625" style="83" customWidth="1"/>
    <col min="6666" max="6666" width="13" style="83" customWidth="1"/>
    <col min="6667" max="6667" width="9.5" style="83" customWidth="1"/>
    <col min="6668" max="6679" width="10.6640625" style="83" customWidth="1"/>
    <col min="6680" max="6680" width="12.33203125" style="83" customWidth="1"/>
    <col min="6681" max="6681" width="12.1640625" style="83" customWidth="1"/>
    <col min="6682" max="6682" width="12.5" style="83" customWidth="1"/>
    <col min="6683" max="6708" width="10.6640625" style="83" customWidth="1"/>
    <col min="6709" max="6709" width="14.5" style="83" customWidth="1"/>
    <col min="6710" max="6710" width="8.5" style="83" customWidth="1"/>
    <col min="6711" max="6711" width="7" style="83" customWidth="1"/>
    <col min="6712" max="6912" width="14.5" style="83" customWidth="1"/>
    <col min="6913" max="6921" width="10.6640625" style="83" customWidth="1"/>
    <col min="6922" max="6922" width="13" style="83" customWidth="1"/>
    <col min="6923" max="6923" width="9.5" style="83" customWidth="1"/>
    <col min="6924" max="6935" width="10.6640625" style="83" customWidth="1"/>
    <col min="6936" max="6936" width="12.33203125" style="83" customWidth="1"/>
    <col min="6937" max="6937" width="12.1640625" style="83" customWidth="1"/>
    <col min="6938" max="6938" width="12.5" style="83" customWidth="1"/>
    <col min="6939" max="6964" width="10.6640625" style="83" customWidth="1"/>
    <col min="6965" max="6965" width="14.5" style="83" customWidth="1"/>
    <col min="6966" max="6966" width="8.5" style="83" customWidth="1"/>
    <col min="6967" max="6967" width="7" style="83" customWidth="1"/>
    <col min="6968" max="7168" width="14.5" style="83" customWidth="1"/>
    <col min="7169" max="7177" width="10.6640625" style="83" customWidth="1"/>
    <col min="7178" max="7178" width="13" style="83" customWidth="1"/>
    <col min="7179" max="7179" width="9.5" style="83" customWidth="1"/>
    <col min="7180" max="7191" width="10.6640625" style="83" customWidth="1"/>
    <col min="7192" max="7192" width="12.33203125" style="83" customWidth="1"/>
    <col min="7193" max="7193" width="12.1640625" style="83" customWidth="1"/>
    <col min="7194" max="7194" width="12.5" style="83" customWidth="1"/>
    <col min="7195" max="7220" width="10.6640625" style="83" customWidth="1"/>
    <col min="7221" max="7221" width="14.5" style="83" customWidth="1"/>
    <col min="7222" max="7222" width="8.5" style="83" customWidth="1"/>
    <col min="7223" max="7223" width="7" style="83" customWidth="1"/>
    <col min="7224" max="7424" width="14.5" style="83" customWidth="1"/>
    <col min="7425" max="7433" width="10.6640625" style="83" customWidth="1"/>
    <col min="7434" max="7434" width="13" style="83" customWidth="1"/>
    <col min="7435" max="7435" width="9.5" style="83" customWidth="1"/>
    <col min="7436" max="7447" width="10.6640625" style="83" customWidth="1"/>
    <col min="7448" max="7448" width="12.33203125" style="83" customWidth="1"/>
    <col min="7449" max="7449" width="12.1640625" style="83" customWidth="1"/>
    <col min="7450" max="7450" width="12.5" style="83" customWidth="1"/>
    <col min="7451" max="7476" width="10.6640625" style="83" customWidth="1"/>
    <col min="7477" max="7477" width="14.5" style="83" customWidth="1"/>
    <col min="7478" max="7478" width="8.5" style="83" customWidth="1"/>
    <col min="7479" max="7479" width="7" style="83" customWidth="1"/>
    <col min="7480" max="7680" width="14.5" style="83" customWidth="1"/>
    <col min="7681" max="7689" width="10.6640625" style="83" customWidth="1"/>
    <col min="7690" max="7690" width="13" style="83" customWidth="1"/>
    <col min="7691" max="7691" width="9.5" style="83" customWidth="1"/>
    <col min="7692" max="7703" width="10.6640625" style="83" customWidth="1"/>
    <col min="7704" max="7704" width="12.33203125" style="83" customWidth="1"/>
    <col min="7705" max="7705" width="12.1640625" style="83" customWidth="1"/>
    <col min="7706" max="7706" width="12.5" style="83" customWidth="1"/>
    <col min="7707" max="7732" width="10.6640625" style="83" customWidth="1"/>
    <col min="7733" max="7733" width="14.5" style="83" customWidth="1"/>
    <col min="7734" max="7734" width="8.5" style="83" customWidth="1"/>
    <col min="7735" max="7735" width="7" style="83" customWidth="1"/>
    <col min="7736" max="7936" width="14.5" style="83" customWidth="1"/>
    <col min="7937" max="7945" width="10.6640625" style="83" customWidth="1"/>
    <col min="7946" max="7946" width="13" style="83" customWidth="1"/>
    <col min="7947" max="7947" width="9.5" style="83" customWidth="1"/>
    <col min="7948" max="7959" width="10.6640625" style="83" customWidth="1"/>
    <col min="7960" max="7960" width="12.33203125" style="83" customWidth="1"/>
    <col min="7961" max="7961" width="12.1640625" style="83" customWidth="1"/>
    <col min="7962" max="7962" width="12.5" style="83" customWidth="1"/>
    <col min="7963" max="7988" width="10.6640625" style="83" customWidth="1"/>
    <col min="7989" max="7989" width="14.5" style="83" customWidth="1"/>
    <col min="7990" max="7990" width="8.5" style="83" customWidth="1"/>
    <col min="7991" max="7991" width="7" style="83" customWidth="1"/>
    <col min="7992" max="8192" width="14.5" style="83" customWidth="1"/>
    <col min="8193" max="8201" width="10.6640625" style="83" customWidth="1"/>
    <col min="8202" max="8202" width="13" style="83" customWidth="1"/>
    <col min="8203" max="8203" width="9.5" style="83" customWidth="1"/>
    <col min="8204" max="8215" width="10.6640625" style="83" customWidth="1"/>
    <col min="8216" max="8216" width="12.33203125" style="83" customWidth="1"/>
    <col min="8217" max="8217" width="12.1640625" style="83" customWidth="1"/>
    <col min="8218" max="8218" width="12.5" style="83" customWidth="1"/>
    <col min="8219" max="8244" width="10.6640625" style="83" customWidth="1"/>
    <col min="8245" max="8245" width="14.5" style="83" customWidth="1"/>
    <col min="8246" max="8246" width="8.5" style="83" customWidth="1"/>
    <col min="8247" max="8247" width="7" style="83" customWidth="1"/>
    <col min="8248" max="8448" width="14.5" style="83" customWidth="1"/>
    <col min="8449" max="8457" width="10.6640625" style="83" customWidth="1"/>
    <col min="8458" max="8458" width="13" style="83" customWidth="1"/>
    <col min="8459" max="8459" width="9.5" style="83" customWidth="1"/>
    <col min="8460" max="8471" width="10.6640625" style="83" customWidth="1"/>
    <col min="8472" max="8472" width="12.33203125" style="83" customWidth="1"/>
    <col min="8473" max="8473" width="12.1640625" style="83" customWidth="1"/>
    <col min="8474" max="8474" width="12.5" style="83" customWidth="1"/>
    <col min="8475" max="8500" width="10.6640625" style="83" customWidth="1"/>
    <col min="8501" max="8501" width="14.5" style="83" customWidth="1"/>
    <col min="8502" max="8502" width="8.5" style="83" customWidth="1"/>
    <col min="8503" max="8503" width="7" style="83" customWidth="1"/>
    <col min="8504" max="8704" width="14.5" style="83" customWidth="1"/>
    <col min="8705" max="8713" width="10.6640625" style="83" customWidth="1"/>
    <col min="8714" max="8714" width="13" style="83" customWidth="1"/>
    <col min="8715" max="8715" width="9.5" style="83" customWidth="1"/>
    <col min="8716" max="8727" width="10.6640625" style="83" customWidth="1"/>
    <col min="8728" max="8728" width="12.33203125" style="83" customWidth="1"/>
    <col min="8729" max="8729" width="12.1640625" style="83" customWidth="1"/>
    <col min="8730" max="8730" width="12.5" style="83" customWidth="1"/>
    <col min="8731" max="8756" width="10.6640625" style="83" customWidth="1"/>
    <col min="8757" max="8757" width="14.5" style="83" customWidth="1"/>
    <col min="8758" max="8758" width="8.5" style="83" customWidth="1"/>
    <col min="8759" max="8759" width="7" style="83" customWidth="1"/>
    <col min="8760" max="8960" width="14.5" style="83" customWidth="1"/>
    <col min="8961" max="8969" width="10.6640625" style="83" customWidth="1"/>
    <col min="8970" max="8970" width="13" style="83" customWidth="1"/>
    <col min="8971" max="8971" width="9.5" style="83" customWidth="1"/>
    <col min="8972" max="8983" width="10.6640625" style="83" customWidth="1"/>
    <col min="8984" max="8984" width="12.33203125" style="83" customWidth="1"/>
    <col min="8985" max="8985" width="12.1640625" style="83" customWidth="1"/>
    <col min="8986" max="8986" width="12.5" style="83" customWidth="1"/>
    <col min="8987" max="9012" width="10.6640625" style="83" customWidth="1"/>
    <col min="9013" max="9013" width="14.5" style="83" customWidth="1"/>
    <col min="9014" max="9014" width="8.5" style="83" customWidth="1"/>
    <col min="9015" max="9015" width="7" style="83" customWidth="1"/>
    <col min="9016" max="9216" width="14.5" style="83" customWidth="1"/>
    <col min="9217" max="9225" width="10.6640625" style="83" customWidth="1"/>
    <col min="9226" max="9226" width="13" style="83" customWidth="1"/>
    <col min="9227" max="9227" width="9.5" style="83" customWidth="1"/>
    <col min="9228" max="9239" width="10.6640625" style="83" customWidth="1"/>
    <col min="9240" max="9240" width="12.33203125" style="83" customWidth="1"/>
    <col min="9241" max="9241" width="12.1640625" style="83" customWidth="1"/>
    <col min="9242" max="9242" width="12.5" style="83" customWidth="1"/>
    <col min="9243" max="9268" width="10.6640625" style="83" customWidth="1"/>
    <col min="9269" max="9269" width="14.5" style="83" customWidth="1"/>
    <col min="9270" max="9270" width="8.5" style="83" customWidth="1"/>
    <col min="9271" max="9271" width="7" style="83" customWidth="1"/>
    <col min="9272" max="9472" width="14.5" style="83" customWidth="1"/>
    <col min="9473" max="9481" width="10.6640625" style="83" customWidth="1"/>
    <col min="9482" max="9482" width="13" style="83" customWidth="1"/>
    <col min="9483" max="9483" width="9.5" style="83" customWidth="1"/>
    <col min="9484" max="9495" width="10.6640625" style="83" customWidth="1"/>
    <col min="9496" max="9496" width="12.33203125" style="83" customWidth="1"/>
    <col min="9497" max="9497" width="12.1640625" style="83" customWidth="1"/>
    <col min="9498" max="9498" width="12.5" style="83" customWidth="1"/>
    <col min="9499" max="9524" width="10.6640625" style="83" customWidth="1"/>
    <col min="9525" max="9525" width="14.5" style="83" customWidth="1"/>
    <col min="9526" max="9526" width="8.5" style="83" customWidth="1"/>
    <col min="9527" max="9527" width="7" style="83" customWidth="1"/>
    <col min="9528" max="9728" width="14.5" style="83" customWidth="1"/>
    <col min="9729" max="9737" width="10.6640625" style="83" customWidth="1"/>
    <col min="9738" max="9738" width="13" style="83" customWidth="1"/>
    <col min="9739" max="9739" width="9.5" style="83" customWidth="1"/>
    <col min="9740" max="9751" width="10.6640625" style="83" customWidth="1"/>
    <col min="9752" max="9752" width="12.33203125" style="83" customWidth="1"/>
    <col min="9753" max="9753" width="12.1640625" style="83" customWidth="1"/>
    <col min="9754" max="9754" width="12.5" style="83" customWidth="1"/>
    <col min="9755" max="9780" width="10.6640625" style="83" customWidth="1"/>
    <col min="9781" max="9781" width="14.5" style="83" customWidth="1"/>
    <col min="9782" max="9782" width="8.5" style="83" customWidth="1"/>
    <col min="9783" max="9783" width="7" style="83" customWidth="1"/>
    <col min="9784" max="9984" width="14.5" style="83" customWidth="1"/>
    <col min="9985" max="9993" width="10.6640625" style="83" customWidth="1"/>
    <col min="9994" max="9994" width="13" style="83" customWidth="1"/>
    <col min="9995" max="9995" width="9.5" style="83" customWidth="1"/>
    <col min="9996" max="10007" width="10.6640625" style="83" customWidth="1"/>
    <col min="10008" max="10008" width="12.33203125" style="83" customWidth="1"/>
    <col min="10009" max="10009" width="12.1640625" style="83" customWidth="1"/>
    <col min="10010" max="10010" width="12.5" style="83" customWidth="1"/>
    <col min="10011" max="10036" width="10.6640625" style="83" customWidth="1"/>
    <col min="10037" max="10037" width="14.5" style="83" customWidth="1"/>
    <col min="10038" max="10038" width="8.5" style="83" customWidth="1"/>
    <col min="10039" max="10039" width="7" style="83" customWidth="1"/>
    <col min="10040" max="10240" width="14.5" style="83" customWidth="1"/>
    <col min="10241" max="10249" width="10.6640625" style="83" customWidth="1"/>
    <col min="10250" max="10250" width="13" style="83" customWidth="1"/>
    <col min="10251" max="10251" width="9.5" style="83" customWidth="1"/>
    <col min="10252" max="10263" width="10.6640625" style="83" customWidth="1"/>
    <col min="10264" max="10264" width="12.33203125" style="83" customWidth="1"/>
    <col min="10265" max="10265" width="12.1640625" style="83" customWidth="1"/>
    <col min="10266" max="10266" width="12.5" style="83" customWidth="1"/>
    <col min="10267" max="10292" width="10.6640625" style="83" customWidth="1"/>
    <col min="10293" max="10293" width="14.5" style="83" customWidth="1"/>
    <col min="10294" max="10294" width="8.5" style="83" customWidth="1"/>
    <col min="10295" max="10295" width="7" style="83" customWidth="1"/>
    <col min="10296" max="10496" width="14.5" style="83" customWidth="1"/>
    <col min="10497" max="10505" width="10.6640625" style="83" customWidth="1"/>
    <col min="10506" max="10506" width="13" style="83" customWidth="1"/>
    <col min="10507" max="10507" width="9.5" style="83" customWidth="1"/>
    <col min="10508" max="10519" width="10.6640625" style="83" customWidth="1"/>
    <col min="10520" max="10520" width="12.33203125" style="83" customWidth="1"/>
    <col min="10521" max="10521" width="12.1640625" style="83" customWidth="1"/>
    <col min="10522" max="10522" width="12.5" style="83" customWidth="1"/>
    <col min="10523" max="10548" width="10.6640625" style="83" customWidth="1"/>
    <col min="10549" max="10549" width="14.5" style="83" customWidth="1"/>
    <col min="10550" max="10550" width="8.5" style="83" customWidth="1"/>
    <col min="10551" max="10551" width="7" style="83" customWidth="1"/>
    <col min="10552" max="10752" width="14.5" style="83" customWidth="1"/>
    <col min="10753" max="10761" width="10.6640625" style="83" customWidth="1"/>
    <col min="10762" max="10762" width="13" style="83" customWidth="1"/>
    <col min="10763" max="10763" width="9.5" style="83" customWidth="1"/>
    <col min="10764" max="10775" width="10.6640625" style="83" customWidth="1"/>
    <col min="10776" max="10776" width="12.33203125" style="83" customWidth="1"/>
    <col min="10777" max="10777" width="12.1640625" style="83" customWidth="1"/>
    <col min="10778" max="10778" width="12.5" style="83" customWidth="1"/>
    <col min="10779" max="10804" width="10.6640625" style="83" customWidth="1"/>
    <col min="10805" max="10805" width="14.5" style="83" customWidth="1"/>
    <col min="10806" max="10806" width="8.5" style="83" customWidth="1"/>
    <col min="10807" max="10807" width="7" style="83" customWidth="1"/>
    <col min="10808" max="11008" width="14.5" style="83" customWidth="1"/>
    <col min="11009" max="11017" width="10.6640625" style="83" customWidth="1"/>
    <col min="11018" max="11018" width="13" style="83" customWidth="1"/>
    <col min="11019" max="11019" width="9.5" style="83" customWidth="1"/>
    <col min="11020" max="11031" width="10.6640625" style="83" customWidth="1"/>
    <col min="11032" max="11032" width="12.33203125" style="83" customWidth="1"/>
    <col min="11033" max="11033" width="12.1640625" style="83" customWidth="1"/>
    <col min="11034" max="11034" width="12.5" style="83" customWidth="1"/>
    <col min="11035" max="11060" width="10.6640625" style="83" customWidth="1"/>
    <col min="11061" max="11061" width="14.5" style="83" customWidth="1"/>
    <col min="11062" max="11062" width="8.5" style="83" customWidth="1"/>
    <col min="11063" max="11063" width="7" style="83" customWidth="1"/>
    <col min="11064" max="11264" width="14.5" style="83" customWidth="1"/>
    <col min="11265" max="11273" width="10.6640625" style="83" customWidth="1"/>
    <col min="11274" max="11274" width="13" style="83" customWidth="1"/>
    <col min="11275" max="11275" width="9.5" style="83" customWidth="1"/>
    <col min="11276" max="11287" width="10.6640625" style="83" customWidth="1"/>
    <col min="11288" max="11288" width="12.33203125" style="83" customWidth="1"/>
    <col min="11289" max="11289" width="12.1640625" style="83" customWidth="1"/>
    <col min="11290" max="11290" width="12.5" style="83" customWidth="1"/>
    <col min="11291" max="11316" width="10.6640625" style="83" customWidth="1"/>
    <col min="11317" max="11317" width="14.5" style="83" customWidth="1"/>
    <col min="11318" max="11318" width="8.5" style="83" customWidth="1"/>
    <col min="11319" max="11319" width="7" style="83" customWidth="1"/>
    <col min="11320" max="11520" width="14.5" style="83" customWidth="1"/>
    <col min="11521" max="11529" width="10.6640625" style="83" customWidth="1"/>
    <col min="11530" max="11530" width="13" style="83" customWidth="1"/>
    <col min="11531" max="11531" width="9.5" style="83" customWidth="1"/>
    <col min="11532" max="11543" width="10.6640625" style="83" customWidth="1"/>
    <col min="11544" max="11544" width="12.33203125" style="83" customWidth="1"/>
    <col min="11545" max="11545" width="12.1640625" style="83" customWidth="1"/>
    <col min="11546" max="11546" width="12.5" style="83" customWidth="1"/>
    <col min="11547" max="11572" width="10.6640625" style="83" customWidth="1"/>
    <col min="11573" max="11573" width="14.5" style="83" customWidth="1"/>
    <col min="11574" max="11574" width="8.5" style="83" customWidth="1"/>
    <col min="11575" max="11575" width="7" style="83" customWidth="1"/>
    <col min="11576" max="11776" width="14.5" style="83" customWidth="1"/>
    <col min="11777" max="11785" width="10.6640625" style="83" customWidth="1"/>
    <col min="11786" max="11786" width="13" style="83" customWidth="1"/>
    <col min="11787" max="11787" width="9.5" style="83" customWidth="1"/>
    <col min="11788" max="11799" width="10.6640625" style="83" customWidth="1"/>
    <col min="11800" max="11800" width="12.33203125" style="83" customWidth="1"/>
    <col min="11801" max="11801" width="12.1640625" style="83" customWidth="1"/>
    <col min="11802" max="11802" width="12.5" style="83" customWidth="1"/>
    <col min="11803" max="11828" width="10.6640625" style="83" customWidth="1"/>
    <col min="11829" max="11829" width="14.5" style="83" customWidth="1"/>
    <col min="11830" max="11830" width="8.5" style="83" customWidth="1"/>
    <col min="11831" max="11831" width="7" style="83" customWidth="1"/>
    <col min="11832" max="12032" width="14.5" style="83" customWidth="1"/>
    <col min="12033" max="12041" width="10.6640625" style="83" customWidth="1"/>
    <col min="12042" max="12042" width="13" style="83" customWidth="1"/>
    <col min="12043" max="12043" width="9.5" style="83" customWidth="1"/>
    <col min="12044" max="12055" width="10.6640625" style="83" customWidth="1"/>
    <col min="12056" max="12056" width="12.33203125" style="83" customWidth="1"/>
    <col min="12057" max="12057" width="12.1640625" style="83" customWidth="1"/>
    <col min="12058" max="12058" width="12.5" style="83" customWidth="1"/>
    <col min="12059" max="12084" width="10.6640625" style="83" customWidth="1"/>
    <col min="12085" max="12085" width="14.5" style="83" customWidth="1"/>
    <col min="12086" max="12086" width="8.5" style="83" customWidth="1"/>
    <col min="12087" max="12087" width="7" style="83" customWidth="1"/>
    <col min="12088" max="12288" width="14.5" style="83" customWidth="1"/>
    <col min="12289" max="12297" width="10.6640625" style="83" customWidth="1"/>
    <col min="12298" max="12298" width="13" style="83" customWidth="1"/>
    <col min="12299" max="12299" width="9.5" style="83" customWidth="1"/>
    <col min="12300" max="12311" width="10.6640625" style="83" customWidth="1"/>
    <col min="12312" max="12312" width="12.33203125" style="83" customWidth="1"/>
    <col min="12313" max="12313" width="12.1640625" style="83" customWidth="1"/>
    <col min="12314" max="12314" width="12.5" style="83" customWidth="1"/>
    <col min="12315" max="12340" width="10.6640625" style="83" customWidth="1"/>
    <col min="12341" max="12341" width="14.5" style="83" customWidth="1"/>
    <col min="12342" max="12342" width="8.5" style="83" customWidth="1"/>
    <col min="12343" max="12343" width="7" style="83" customWidth="1"/>
    <col min="12344" max="12544" width="14.5" style="83" customWidth="1"/>
    <col min="12545" max="12553" width="10.6640625" style="83" customWidth="1"/>
    <col min="12554" max="12554" width="13" style="83" customWidth="1"/>
    <col min="12555" max="12555" width="9.5" style="83" customWidth="1"/>
    <col min="12556" max="12567" width="10.6640625" style="83" customWidth="1"/>
    <col min="12568" max="12568" width="12.33203125" style="83" customWidth="1"/>
    <col min="12569" max="12569" width="12.1640625" style="83" customWidth="1"/>
    <col min="12570" max="12570" width="12.5" style="83" customWidth="1"/>
    <col min="12571" max="12596" width="10.6640625" style="83" customWidth="1"/>
    <col min="12597" max="12597" width="14.5" style="83" customWidth="1"/>
    <col min="12598" max="12598" width="8.5" style="83" customWidth="1"/>
    <col min="12599" max="12599" width="7" style="83" customWidth="1"/>
    <col min="12600" max="12800" width="14.5" style="83" customWidth="1"/>
    <col min="12801" max="12809" width="10.6640625" style="83" customWidth="1"/>
    <col min="12810" max="12810" width="13" style="83" customWidth="1"/>
    <col min="12811" max="12811" width="9.5" style="83" customWidth="1"/>
    <col min="12812" max="12823" width="10.6640625" style="83" customWidth="1"/>
    <col min="12824" max="12824" width="12.33203125" style="83" customWidth="1"/>
    <col min="12825" max="12825" width="12.1640625" style="83" customWidth="1"/>
    <col min="12826" max="12826" width="12.5" style="83" customWidth="1"/>
    <col min="12827" max="12852" width="10.6640625" style="83" customWidth="1"/>
    <col min="12853" max="12853" width="14.5" style="83" customWidth="1"/>
    <col min="12854" max="12854" width="8.5" style="83" customWidth="1"/>
    <col min="12855" max="12855" width="7" style="83" customWidth="1"/>
    <col min="12856" max="13056" width="14.5" style="83" customWidth="1"/>
    <col min="13057" max="13065" width="10.6640625" style="83" customWidth="1"/>
    <col min="13066" max="13066" width="13" style="83" customWidth="1"/>
    <col min="13067" max="13067" width="9.5" style="83" customWidth="1"/>
    <col min="13068" max="13079" width="10.6640625" style="83" customWidth="1"/>
    <col min="13080" max="13080" width="12.33203125" style="83" customWidth="1"/>
    <col min="13081" max="13081" width="12.1640625" style="83" customWidth="1"/>
    <col min="13082" max="13082" width="12.5" style="83" customWidth="1"/>
    <col min="13083" max="13108" width="10.6640625" style="83" customWidth="1"/>
    <col min="13109" max="13109" width="14.5" style="83" customWidth="1"/>
    <col min="13110" max="13110" width="8.5" style="83" customWidth="1"/>
    <col min="13111" max="13111" width="7" style="83" customWidth="1"/>
    <col min="13112" max="13312" width="14.5" style="83" customWidth="1"/>
    <col min="13313" max="13321" width="10.6640625" style="83" customWidth="1"/>
    <col min="13322" max="13322" width="13" style="83" customWidth="1"/>
    <col min="13323" max="13323" width="9.5" style="83" customWidth="1"/>
    <col min="13324" max="13335" width="10.6640625" style="83" customWidth="1"/>
    <col min="13336" max="13336" width="12.33203125" style="83" customWidth="1"/>
    <col min="13337" max="13337" width="12.1640625" style="83" customWidth="1"/>
    <col min="13338" max="13338" width="12.5" style="83" customWidth="1"/>
    <col min="13339" max="13364" width="10.6640625" style="83" customWidth="1"/>
    <col min="13365" max="13365" width="14.5" style="83" customWidth="1"/>
    <col min="13366" max="13366" width="8.5" style="83" customWidth="1"/>
    <col min="13367" max="13367" width="7" style="83" customWidth="1"/>
    <col min="13368" max="13568" width="14.5" style="83" customWidth="1"/>
    <col min="13569" max="13577" width="10.6640625" style="83" customWidth="1"/>
    <col min="13578" max="13578" width="13" style="83" customWidth="1"/>
    <col min="13579" max="13579" width="9.5" style="83" customWidth="1"/>
    <col min="13580" max="13591" width="10.6640625" style="83" customWidth="1"/>
    <col min="13592" max="13592" width="12.33203125" style="83" customWidth="1"/>
    <col min="13593" max="13593" width="12.1640625" style="83" customWidth="1"/>
    <col min="13594" max="13594" width="12.5" style="83" customWidth="1"/>
    <col min="13595" max="13620" width="10.6640625" style="83" customWidth="1"/>
    <col min="13621" max="13621" width="14.5" style="83" customWidth="1"/>
    <col min="13622" max="13622" width="8.5" style="83" customWidth="1"/>
    <col min="13623" max="13623" width="7" style="83" customWidth="1"/>
    <col min="13624" max="13824" width="14.5" style="83" customWidth="1"/>
    <col min="13825" max="13833" width="10.6640625" style="83" customWidth="1"/>
    <col min="13834" max="13834" width="13" style="83" customWidth="1"/>
    <col min="13835" max="13835" width="9.5" style="83" customWidth="1"/>
    <col min="13836" max="13847" width="10.6640625" style="83" customWidth="1"/>
    <col min="13848" max="13848" width="12.33203125" style="83" customWidth="1"/>
    <col min="13849" max="13849" width="12.1640625" style="83" customWidth="1"/>
    <col min="13850" max="13850" width="12.5" style="83" customWidth="1"/>
    <col min="13851" max="13876" width="10.6640625" style="83" customWidth="1"/>
    <col min="13877" max="13877" width="14.5" style="83" customWidth="1"/>
    <col min="13878" max="13878" width="8.5" style="83" customWidth="1"/>
    <col min="13879" max="13879" width="7" style="83" customWidth="1"/>
    <col min="13880" max="14080" width="14.5" style="83" customWidth="1"/>
    <col min="14081" max="14089" width="10.6640625" style="83" customWidth="1"/>
    <col min="14090" max="14090" width="13" style="83" customWidth="1"/>
    <col min="14091" max="14091" width="9.5" style="83" customWidth="1"/>
    <col min="14092" max="14103" width="10.6640625" style="83" customWidth="1"/>
    <col min="14104" max="14104" width="12.33203125" style="83" customWidth="1"/>
    <col min="14105" max="14105" width="12.1640625" style="83" customWidth="1"/>
    <col min="14106" max="14106" width="12.5" style="83" customWidth="1"/>
    <col min="14107" max="14132" width="10.6640625" style="83" customWidth="1"/>
    <col min="14133" max="14133" width="14.5" style="83" customWidth="1"/>
    <col min="14134" max="14134" width="8.5" style="83" customWidth="1"/>
    <col min="14135" max="14135" width="7" style="83" customWidth="1"/>
    <col min="14136" max="14336" width="14.5" style="83" customWidth="1"/>
    <col min="14337" max="14345" width="10.6640625" style="83" customWidth="1"/>
    <col min="14346" max="14346" width="13" style="83" customWidth="1"/>
    <col min="14347" max="14347" width="9.5" style="83" customWidth="1"/>
    <col min="14348" max="14359" width="10.6640625" style="83" customWidth="1"/>
    <col min="14360" max="14360" width="12.33203125" style="83" customWidth="1"/>
    <col min="14361" max="14361" width="12.1640625" style="83" customWidth="1"/>
    <col min="14362" max="14362" width="12.5" style="83" customWidth="1"/>
    <col min="14363" max="14388" width="10.6640625" style="83" customWidth="1"/>
    <col min="14389" max="14389" width="14.5" style="83" customWidth="1"/>
    <col min="14390" max="14390" width="8.5" style="83" customWidth="1"/>
    <col min="14391" max="14391" width="7" style="83" customWidth="1"/>
    <col min="14392" max="14592" width="14.5" style="83" customWidth="1"/>
    <col min="14593" max="14601" width="10.6640625" style="83" customWidth="1"/>
    <col min="14602" max="14602" width="13" style="83" customWidth="1"/>
    <col min="14603" max="14603" width="9.5" style="83" customWidth="1"/>
    <col min="14604" max="14615" width="10.6640625" style="83" customWidth="1"/>
    <col min="14616" max="14616" width="12.33203125" style="83" customWidth="1"/>
    <col min="14617" max="14617" width="12.1640625" style="83" customWidth="1"/>
    <col min="14618" max="14618" width="12.5" style="83" customWidth="1"/>
    <col min="14619" max="14644" width="10.6640625" style="83" customWidth="1"/>
    <col min="14645" max="14645" width="14.5" style="83" customWidth="1"/>
    <col min="14646" max="14646" width="8.5" style="83" customWidth="1"/>
    <col min="14647" max="14647" width="7" style="83" customWidth="1"/>
    <col min="14648" max="14848" width="14.5" style="83" customWidth="1"/>
    <col min="14849" max="14857" width="10.6640625" style="83" customWidth="1"/>
    <col min="14858" max="14858" width="13" style="83" customWidth="1"/>
    <col min="14859" max="14859" width="9.5" style="83" customWidth="1"/>
    <col min="14860" max="14871" width="10.6640625" style="83" customWidth="1"/>
    <col min="14872" max="14872" width="12.33203125" style="83" customWidth="1"/>
    <col min="14873" max="14873" width="12.1640625" style="83" customWidth="1"/>
    <col min="14874" max="14874" width="12.5" style="83" customWidth="1"/>
    <col min="14875" max="14900" width="10.6640625" style="83" customWidth="1"/>
    <col min="14901" max="14901" width="14.5" style="83" customWidth="1"/>
    <col min="14902" max="14902" width="8.5" style="83" customWidth="1"/>
    <col min="14903" max="14903" width="7" style="83" customWidth="1"/>
    <col min="14904" max="15104" width="14.5" style="83" customWidth="1"/>
    <col min="15105" max="15113" width="10.6640625" style="83" customWidth="1"/>
    <col min="15114" max="15114" width="13" style="83" customWidth="1"/>
    <col min="15115" max="15115" width="9.5" style="83" customWidth="1"/>
    <col min="15116" max="15127" width="10.6640625" style="83" customWidth="1"/>
    <col min="15128" max="15128" width="12.33203125" style="83" customWidth="1"/>
    <col min="15129" max="15129" width="12.1640625" style="83" customWidth="1"/>
    <col min="15130" max="15130" width="12.5" style="83" customWidth="1"/>
    <col min="15131" max="15156" width="10.6640625" style="83" customWidth="1"/>
    <col min="15157" max="15157" width="14.5" style="83" customWidth="1"/>
    <col min="15158" max="15158" width="8.5" style="83" customWidth="1"/>
    <col min="15159" max="15159" width="7" style="83" customWidth="1"/>
    <col min="15160" max="15360" width="14.5" style="83" customWidth="1"/>
    <col min="15361" max="15369" width="10.6640625" style="83" customWidth="1"/>
    <col min="15370" max="15370" width="13" style="83" customWidth="1"/>
    <col min="15371" max="15371" width="9.5" style="83" customWidth="1"/>
    <col min="15372" max="15383" width="10.6640625" style="83" customWidth="1"/>
    <col min="15384" max="15384" width="12.33203125" style="83" customWidth="1"/>
    <col min="15385" max="15385" width="12.1640625" style="83" customWidth="1"/>
    <col min="15386" max="15386" width="12.5" style="83" customWidth="1"/>
    <col min="15387" max="15412" width="10.6640625" style="83" customWidth="1"/>
    <col min="15413" max="15413" width="14.5" style="83" customWidth="1"/>
    <col min="15414" max="15414" width="8.5" style="83" customWidth="1"/>
    <col min="15415" max="15415" width="7" style="83" customWidth="1"/>
    <col min="15416" max="15616" width="14.5" style="83" customWidth="1"/>
    <col min="15617" max="15625" width="10.6640625" style="83" customWidth="1"/>
    <col min="15626" max="15626" width="13" style="83" customWidth="1"/>
    <col min="15627" max="15627" width="9.5" style="83" customWidth="1"/>
    <col min="15628" max="15639" width="10.6640625" style="83" customWidth="1"/>
    <col min="15640" max="15640" width="12.33203125" style="83" customWidth="1"/>
    <col min="15641" max="15641" width="12.1640625" style="83" customWidth="1"/>
    <col min="15642" max="15642" width="12.5" style="83" customWidth="1"/>
    <col min="15643" max="15668" width="10.6640625" style="83" customWidth="1"/>
    <col min="15669" max="15669" width="14.5" style="83" customWidth="1"/>
    <col min="15670" max="15670" width="8.5" style="83" customWidth="1"/>
    <col min="15671" max="15671" width="7" style="83" customWidth="1"/>
    <col min="15672" max="15872" width="14.5" style="83" customWidth="1"/>
    <col min="15873" max="15881" width="10.6640625" style="83" customWidth="1"/>
    <col min="15882" max="15882" width="13" style="83" customWidth="1"/>
    <col min="15883" max="15883" width="9.5" style="83" customWidth="1"/>
    <col min="15884" max="15895" width="10.6640625" style="83" customWidth="1"/>
    <col min="15896" max="15896" width="12.33203125" style="83" customWidth="1"/>
    <col min="15897" max="15897" width="12.1640625" style="83" customWidth="1"/>
    <col min="15898" max="15898" width="12.5" style="83" customWidth="1"/>
    <col min="15899" max="15924" width="10.6640625" style="83" customWidth="1"/>
    <col min="15925" max="15925" width="14.5" style="83" customWidth="1"/>
    <col min="15926" max="15926" width="8.5" style="83" customWidth="1"/>
    <col min="15927" max="15927" width="7" style="83" customWidth="1"/>
    <col min="15928" max="16128" width="14.5" style="83" customWidth="1"/>
    <col min="16129" max="16137" width="10.6640625" style="83" customWidth="1"/>
    <col min="16138" max="16138" width="13" style="83" customWidth="1"/>
    <col min="16139" max="16139" width="9.5" style="83" customWidth="1"/>
    <col min="16140" max="16151" width="10.6640625" style="83" customWidth="1"/>
    <col min="16152" max="16152" width="12.33203125" style="83" customWidth="1"/>
    <col min="16153" max="16153" width="12.1640625" style="83" customWidth="1"/>
    <col min="16154" max="16154" width="12.5" style="83" customWidth="1"/>
    <col min="16155" max="16180" width="10.6640625" style="83" customWidth="1"/>
    <col min="16181" max="16181" width="14.5" style="83" customWidth="1"/>
    <col min="16182" max="16182" width="8.5" style="83" customWidth="1"/>
    <col min="16183" max="16183" width="7" style="83" customWidth="1"/>
    <col min="16184" max="16384" width="14.5" style="83" customWidth="1"/>
  </cols>
  <sheetData>
    <row r="1" spans="1:67" ht="34" customHeight="1" thickBot="1" x14ac:dyDescent="0.25">
      <c r="A1" s="1" t="s">
        <v>71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" t="s">
        <v>1</v>
      </c>
      <c r="P1" s="5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</row>
    <row r="2" spans="1:67" ht="22" customHeight="1" x14ac:dyDescent="0.15">
      <c r="A2" s="84" t="s">
        <v>72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  <c r="BM2" s="82"/>
      <c r="BN2" s="82"/>
      <c r="BO2" s="82"/>
    </row>
    <row r="3" spans="1:67" ht="8" customHeight="1" x14ac:dyDescent="0.15">
      <c r="A3" s="82"/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82"/>
      <c r="BN3" s="82"/>
      <c r="BO3" s="82"/>
    </row>
    <row r="4" spans="1:67" ht="25" customHeight="1" x14ac:dyDescent="0.15">
      <c r="A4" s="85" t="s">
        <v>73</v>
      </c>
      <c r="B4" s="81"/>
      <c r="C4" s="81"/>
      <c r="D4" s="81"/>
      <c r="E4" s="81"/>
      <c r="F4" s="81"/>
      <c r="G4" s="81"/>
      <c r="H4" s="81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  <c r="BM4" s="82"/>
      <c r="BN4" s="82"/>
      <c r="BO4" s="82"/>
    </row>
    <row r="5" spans="1:67" ht="12.75" customHeight="1" x14ac:dyDescent="0.2">
      <c r="A5" s="86" t="s">
        <v>74</v>
      </c>
      <c r="B5" s="87"/>
      <c r="C5" s="87"/>
      <c r="D5" s="88" t="s">
        <v>60</v>
      </c>
      <c r="E5" s="87"/>
      <c r="F5" s="89"/>
      <c r="G5" s="90" t="s">
        <v>75</v>
      </c>
      <c r="H5" s="91" t="s">
        <v>76</v>
      </c>
      <c r="I5" s="46"/>
      <c r="J5" s="46"/>
      <c r="K5" s="46"/>
      <c r="L5" s="92"/>
      <c r="M5" s="46"/>
      <c r="N5" s="46"/>
      <c r="O5" s="46"/>
      <c r="P5" s="46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</row>
    <row r="6" spans="1:67" ht="12.75" customHeight="1" x14ac:dyDescent="0.2">
      <c r="A6" s="93" t="s">
        <v>77</v>
      </c>
      <c r="B6" s="94"/>
      <c r="C6" s="94"/>
      <c r="D6" s="95">
        <f>'[1]CHI PHI DAU TU'!E2</f>
        <v>150000000</v>
      </c>
      <c r="E6" s="94"/>
      <c r="F6" s="96"/>
      <c r="G6" s="97" t="s">
        <v>78</v>
      </c>
      <c r="H6" s="98">
        <v>0.32</v>
      </c>
      <c r="I6" s="46"/>
      <c r="J6" s="99"/>
      <c r="K6" s="46"/>
      <c r="L6" s="46"/>
      <c r="M6" s="46"/>
      <c r="N6" s="46"/>
      <c r="O6" s="46"/>
      <c r="P6" s="46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</row>
    <row r="7" spans="1:67" ht="12.75" customHeight="1" x14ac:dyDescent="0.2">
      <c r="A7" s="100" t="s">
        <v>79</v>
      </c>
      <c r="B7" s="94"/>
      <c r="C7" s="94"/>
      <c r="D7" s="101">
        <v>25000</v>
      </c>
      <c r="E7" s="94"/>
      <c r="F7" s="96"/>
      <c r="G7" s="102" t="s">
        <v>80</v>
      </c>
      <c r="H7" s="98">
        <v>0.2</v>
      </c>
      <c r="I7" s="46"/>
      <c r="J7" s="46"/>
      <c r="K7" s="46"/>
      <c r="L7" s="46"/>
      <c r="M7" s="46"/>
      <c r="N7" s="46"/>
      <c r="O7" s="46"/>
      <c r="P7" s="46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</row>
    <row r="8" spans="1:67" ht="12.75" customHeight="1" x14ac:dyDescent="0.2">
      <c r="A8" s="93" t="s">
        <v>81</v>
      </c>
      <c r="B8" s="94"/>
      <c r="C8" s="94"/>
      <c r="D8" s="101">
        <v>25000</v>
      </c>
      <c r="E8" s="94"/>
      <c r="F8" s="96"/>
      <c r="G8" s="97" t="s">
        <v>82</v>
      </c>
      <c r="H8" s="98">
        <v>0.15</v>
      </c>
      <c r="I8" s="46"/>
      <c r="J8" s="46"/>
      <c r="K8" s="46"/>
      <c r="L8" s="46"/>
      <c r="M8" s="46"/>
      <c r="N8" s="46"/>
      <c r="O8" s="46"/>
      <c r="P8" s="46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</row>
    <row r="9" spans="1:67" ht="12.75" customHeight="1" x14ac:dyDescent="0.2">
      <c r="A9" s="100" t="s">
        <v>83</v>
      </c>
      <c r="B9" s="94"/>
      <c r="C9" s="94"/>
      <c r="D9" s="101">
        <v>80</v>
      </c>
      <c r="E9" s="94"/>
      <c r="F9" s="96"/>
      <c r="G9" s="102" t="s">
        <v>84</v>
      </c>
      <c r="H9" s="98">
        <v>0.02</v>
      </c>
      <c r="I9" s="46"/>
      <c r="J9" s="46"/>
      <c r="K9" s="46"/>
      <c r="L9" s="46"/>
      <c r="M9" s="46"/>
      <c r="N9" s="46"/>
      <c r="O9" s="46"/>
      <c r="P9" s="46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  <c r="BB9" s="82"/>
      <c r="BC9" s="82"/>
      <c r="BD9" s="82"/>
      <c r="BE9" s="82"/>
      <c r="BF9" s="82"/>
      <c r="BG9" s="82"/>
      <c r="BH9" s="82"/>
      <c r="BI9" s="82"/>
      <c r="BJ9" s="82"/>
      <c r="BK9" s="82"/>
      <c r="BL9" s="82"/>
      <c r="BM9" s="82"/>
      <c r="BN9" s="82"/>
      <c r="BO9" s="82"/>
    </row>
    <row r="10" spans="1:67" ht="16" customHeight="1" x14ac:dyDescent="0.2">
      <c r="A10" s="93" t="s">
        <v>85</v>
      </c>
      <c r="B10" s="94"/>
      <c r="C10" s="94"/>
      <c r="D10" s="101">
        <v>50</v>
      </c>
      <c r="E10" s="94"/>
      <c r="F10" s="96"/>
      <c r="G10" s="97" t="s">
        <v>86</v>
      </c>
      <c r="H10" s="98">
        <v>0.05</v>
      </c>
      <c r="I10" s="46"/>
      <c r="J10" s="46"/>
      <c r="K10" s="46"/>
      <c r="L10" s="46"/>
      <c r="M10" s="46"/>
      <c r="N10" s="46"/>
      <c r="O10" s="46"/>
      <c r="P10" s="46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</row>
    <row r="11" spans="1:67" ht="12.75" customHeight="1" x14ac:dyDescent="0.2">
      <c r="A11" s="100" t="s">
        <v>87</v>
      </c>
      <c r="B11" s="94"/>
      <c r="C11" s="94"/>
      <c r="D11" s="103">
        <v>0.01</v>
      </c>
      <c r="E11" s="94"/>
      <c r="F11" s="96"/>
      <c r="G11" s="102" t="s">
        <v>88</v>
      </c>
      <c r="H11" s="98">
        <v>0.02</v>
      </c>
      <c r="I11" s="46"/>
      <c r="J11" s="46"/>
      <c r="K11" s="46"/>
      <c r="L11" s="46"/>
      <c r="M11" s="46"/>
      <c r="N11" s="46"/>
      <c r="O11" s="46"/>
      <c r="P11" s="46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</row>
    <row r="12" spans="1:67" ht="18" customHeight="1" x14ac:dyDescent="0.2">
      <c r="A12" s="93" t="s">
        <v>89</v>
      </c>
      <c r="B12" s="94"/>
      <c r="C12" s="94"/>
      <c r="D12" s="101">
        <v>30</v>
      </c>
      <c r="E12" s="94"/>
      <c r="F12" s="96"/>
      <c r="G12" s="97" t="s">
        <v>90</v>
      </c>
      <c r="H12" s="98">
        <v>0.02</v>
      </c>
      <c r="I12" s="46"/>
      <c r="J12" s="46"/>
      <c r="K12" s="46"/>
      <c r="L12" s="46"/>
      <c r="M12" s="46"/>
      <c r="N12" s="46"/>
      <c r="O12" s="46"/>
      <c r="P12" s="46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</row>
    <row r="13" spans="1:67" ht="25" customHeight="1" x14ac:dyDescent="0.2">
      <c r="A13" s="100" t="s">
        <v>91</v>
      </c>
      <c r="B13" s="94"/>
      <c r="C13" s="94"/>
      <c r="D13" s="104">
        <f>'[1]CHI PHI DAU TU'!G29</f>
        <v>2195836.666666667</v>
      </c>
      <c r="E13" s="94"/>
      <c r="F13" s="96"/>
      <c r="G13" s="105" t="s">
        <v>92</v>
      </c>
      <c r="H13" s="106">
        <f>SUM(H6:H12)</f>
        <v>0.78000000000000014</v>
      </c>
      <c r="I13" s="46"/>
      <c r="J13" s="46"/>
      <c r="K13" s="46"/>
      <c r="L13" s="46"/>
      <c r="M13" s="46"/>
      <c r="N13" s="46"/>
      <c r="O13" s="46"/>
      <c r="P13" s="46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</row>
    <row r="14" spans="1:67" ht="29" customHeight="1" x14ac:dyDescent="0.2">
      <c r="A14" s="107" t="s">
        <v>93</v>
      </c>
      <c r="B14" s="108"/>
      <c r="C14" s="108"/>
      <c r="D14" s="109">
        <v>0.01</v>
      </c>
      <c r="E14" s="108"/>
      <c r="F14" s="110"/>
      <c r="G14" s="111" t="s">
        <v>94</v>
      </c>
      <c r="H14" s="112">
        <f>1-H13</f>
        <v>0.21999999999999986</v>
      </c>
      <c r="I14" s="46"/>
      <c r="J14" s="46"/>
      <c r="K14" s="46"/>
      <c r="L14" s="46"/>
      <c r="M14" s="46"/>
      <c r="N14" s="46"/>
      <c r="O14" s="46"/>
      <c r="P14" s="46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</row>
    <row r="15" spans="1:67" ht="8" customHeight="1" x14ac:dyDescent="0.1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</row>
    <row r="16" spans="1:67" ht="25" customHeight="1" x14ac:dyDescent="0.15">
      <c r="A16" s="113" t="s">
        <v>95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82"/>
      <c r="BH16" s="82"/>
      <c r="BI16" s="82"/>
      <c r="BJ16" s="82"/>
      <c r="BK16" s="82"/>
      <c r="BL16" s="82"/>
      <c r="BM16" s="82"/>
      <c r="BN16" s="82"/>
      <c r="BO16" s="82"/>
    </row>
    <row r="17" spans="1:67" s="119" customFormat="1" ht="24" customHeight="1" x14ac:dyDescent="0.2">
      <c r="A17" s="12"/>
      <c r="B17" s="114" t="s">
        <v>96</v>
      </c>
      <c r="C17" s="87"/>
      <c r="D17" s="87"/>
      <c r="E17" s="115"/>
      <c r="F17" s="116" t="s">
        <v>97</v>
      </c>
      <c r="G17" s="87"/>
      <c r="H17" s="87"/>
      <c r="I17" s="87"/>
      <c r="J17" s="87"/>
      <c r="K17" s="87"/>
      <c r="L17" s="87"/>
      <c r="M17" s="115"/>
      <c r="N17" s="117" t="s">
        <v>98</v>
      </c>
      <c r="O17" s="87"/>
      <c r="P17" s="115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</row>
    <row r="18" spans="1:67" s="119" customFormat="1" ht="24" customHeight="1" x14ac:dyDescent="0.2">
      <c r="A18" s="120" t="s">
        <v>99</v>
      </c>
      <c r="B18" s="121" t="s">
        <v>100</v>
      </c>
      <c r="C18" s="121" t="s">
        <v>101</v>
      </c>
      <c r="D18" s="121" t="s">
        <v>102</v>
      </c>
      <c r="E18" s="121" t="s">
        <v>103</v>
      </c>
      <c r="F18" s="122" t="s">
        <v>104</v>
      </c>
      <c r="G18" s="122" t="s">
        <v>105</v>
      </c>
      <c r="H18" s="122" t="s">
        <v>106</v>
      </c>
      <c r="I18" s="122" t="s">
        <v>107</v>
      </c>
      <c r="J18" s="122" t="s">
        <v>108</v>
      </c>
      <c r="K18" s="122" t="s">
        <v>109</v>
      </c>
      <c r="L18" s="122" t="s">
        <v>110</v>
      </c>
      <c r="M18" s="122" t="s">
        <v>111</v>
      </c>
      <c r="N18" s="123" t="s">
        <v>112</v>
      </c>
      <c r="O18" s="123" t="s">
        <v>113</v>
      </c>
      <c r="P18" s="124" t="s">
        <v>114</v>
      </c>
      <c r="Q18" s="118"/>
      <c r="R18" s="118"/>
      <c r="S18" s="118"/>
      <c r="T18" s="118"/>
      <c r="U18" s="118"/>
      <c r="V18" s="118"/>
      <c r="W18" s="118"/>
      <c r="X18" s="118"/>
      <c r="Y18" s="118"/>
      <c r="Z18" s="118"/>
      <c r="AA18" s="118"/>
      <c r="AB18" s="118"/>
      <c r="AC18" s="118"/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8"/>
      <c r="AT18" s="118"/>
      <c r="AU18" s="118"/>
      <c r="AV18" s="118"/>
      <c r="AW18" s="118"/>
      <c r="AX18" s="118"/>
      <c r="AY18" s="118"/>
      <c r="AZ18" s="118"/>
      <c r="BA18" s="118"/>
      <c r="BB18" s="118"/>
      <c r="BC18" s="118"/>
      <c r="BD18" s="118"/>
      <c r="BE18" s="118"/>
      <c r="BF18" s="118"/>
      <c r="BG18" s="118"/>
      <c r="BH18" s="118"/>
      <c r="BI18" s="118"/>
      <c r="BJ18" s="118"/>
      <c r="BK18" s="118"/>
      <c r="BL18" s="118"/>
      <c r="BM18" s="118"/>
      <c r="BN18" s="118"/>
      <c r="BO18" s="118"/>
    </row>
    <row r="19" spans="1:67" ht="12.75" customHeight="1" x14ac:dyDescent="0.15">
      <c r="A19" s="125">
        <v>1</v>
      </c>
      <c r="B19" s="27">
        <f>$D$7*$D$9*$D$12</f>
        <v>60000000</v>
      </c>
      <c r="C19" s="27">
        <f>$D$8*$D$10*$D$12</f>
        <v>37500000</v>
      </c>
      <c r="D19" s="126">
        <f t="shared" ref="D19:D54" si="0">B19+C19</f>
        <v>97500000</v>
      </c>
      <c r="E19" s="127"/>
      <c r="F19" s="128">
        <f t="shared" ref="F19:F54" si="1">D19*$H$6</f>
        <v>31200000</v>
      </c>
      <c r="G19" s="128">
        <f t="shared" ref="G19:G54" si="2">D19*$H$7</f>
        <v>19500000</v>
      </c>
      <c r="H19" s="128">
        <f t="shared" ref="H19:H54" si="3">D19*$H$8</f>
        <v>14625000</v>
      </c>
      <c r="I19" s="128">
        <f t="shared" ref="I19:I54" si="4">D19*$H$9</f>
        <v>1950000</v>
      </c>
      <c r="J19" s="128">
        <f t="shared" ref="J19:J54" si="5">D19*$H$10</f>
        <v>4875000</v>
      </c>
      <c r="K19" s="128">
        <f t="shared" ref="K19:K54" si="6">D19*$H$11</f>
        <v>1950000</v>
      </c>
      <c r="L19" s="128">
        <f t="shared" ref="L19:L54" si="7">D19*$H$12</f>
        <v>1950000</v>
      </c>
      <c r="M19" s="129">
        <f t="shared" ref="M19:M54" si="8">SUM(F19:L19)</f>
        <v>76050000</v>
      </c>
      <c r="N19" s="130">
        <f t="shared" ref="N19:N54" si="9">D19-M19</f>
        <v>21450000</v>
      </c>
      <c r="O19" s="131">
        <f t="shared" ref="O19:O54" si="10">$D$13</f>
        <v>2195836.666666667</v>
      </c>
      <c r="P19" s="132">
        <f t="shared" ref="P19:P54" si="11">N19-O19</f>
        <v>19254163.333333332</v>
      </c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</row>
    <row r="20" spans="1:67" ht="12.75" customHeight="1" x14ac:dyDescent="0.15">
      <c r="A20" s="133">
        <v>2</v>
      </c>
      <c r="B20" s="33">
        <f t="shared" ref="B20:B54" si="12">B19*(1+$D$11)</f>
        <v>60600000</v>
      </c>
      <c r="C20" s="33">
        <f t="shared" ref="C20:C54" si="13">C19*(1+$D$14)</f>
        <v>37875000</v>
      </c>
      <c r="D20" s="126">
        <f t="shared" si="0"/>
        <v>98475000</v>
      </c>
      <c r="E20" s="134">
        <f t="shared" ref="E20:E54" si="14">(D20-D19)/D19</f>
        <v>0.01</v>
      </c>
      <c r="F20" s="135">
        <f t="shared" si="1"/>
        <v>31512000</v>
      </c>
      <c r="G20" s="135">
        <f t="shared" si="2"/>
        <v>19695000</v>
      </c>
      <c r="H20" s="135">
        <f t="shared" si="3"/>
        <v>14771250</v>
      </c>
      <c r="I20" s="135">
        <f t="shared" si="4"/>
        <v>1969500</v>
      </c>
      <c r="J20" s="135">
        <f t="shared" si="5"/>
        <v>4923750</v>
      </c>
      <c r="K20" s="135">
        <f t="shared" si="6"/>
        <v>1969500</v>
      </c>
      <c r="L20" s="135">
        <f t="shared" si="7"/>
        <v>1969500</v>
      </c>
      <c r="M20" s="129">
        <f t="shared" si="8"/>
        <v>76810500</v>
      </c>
      <c r="N20" s="130">
        <f t="shared" si="9"/>
        <v>21664500</v>
      </c>
      <c r="O20" s="131">
        <f t="shared" si="10"/>
        <v>2195836.666666667</v>
      </c>
      <c r="P20" s="132">
        <f t="shared" si="11"/>
        <v>19468663.333333332</v>
      </c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</row>
    <row r="21" spans="1:67" ht="12.75" customHeight="1" x14ac:dyDescent="0.15">
      <c r="A21" s="125">
        <v>3</v>
      </c>
      <c r="B21" s="27">
        <f t="shared" si="12"/>
        <v>61206000</v>
      </c>
      <c r="C21" s="27">
        <f t="shared" si="13"/>
        <v>38253750</v>
      </c>
      <c r="D21" s="126">
        <f t="shared" si="0"/>
        <v>99459750</v>
      </c>
      <c r="E21" s="127">
        <f t="shared" si="14"/>
        <v>0.01</v>
      </c>
      <c r="F21" s="128">
        <f t="shared" si="1"/>
        <v>31827120</v>
      </c>
      <c r="G21" s="128">
        <f t="shared" si="2"/>
        <v>19891950</v>
      </c>
      <c r="H21" s="128">
        <f t="shared" si="3"/>
        <v>14918962.5</v>
      </c>
      <c r="I21" s="128">
        <f t="shared" si="4"/>
        <v>1989195</v>
      </c>
      <c r="J21" s="128">
        <f t="shared" si="5"/>
        <v>4972987.5</v>
      </c>
      <c r="K21" s="128">
        <f t="shared" si="6"/>
        <v>1989195</v>
      </c>
      <c r="L21" s="128">
        <f t="shared" si="7"/>
        <v>1989195</v>
      </c>
      <c r="M21" s="129">
        <f t="shared" si="8"/>
        <v>77578605</v>
      </c>
      <c r="N21" s="130">
        <f t="shared" si="9"/>
        <v>21881145</v>
      </c>
      <c r="O21" s="131">
        <f t="shared" si="10"/>
        <v>2195836.666666667</v>
      </c>
      <c r="P21" s="132">
        <f t="shared" si="11"/>
        <v>19685308.333333332</v>
      </c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  <c r="BE21" s="82"/>
      <c r="BF21" s="82"/>
      <c r="BG21" s="82"/>
      <c r="BH21" s="82"/>
      <c r="BI21" s="82"/>
      <c r="BJ21" s="82"/>
      <c r="BK21" s="82"/>
      <c r="BL21" s="82"/>
      <c r="BM21" s="82"/>
      <c r="BN21" s="82"/>
      <c r="BO21" s="82"/>
    </row>
    <row r="22" spans="1:67" ht="12.75" customHeight="1" x14ac:dyDescent="0.15">
      <c r="A22" s="133">
        <v>4</v>
      </c>
      <c r="B22" s="33">
        <f t="shared" si="12"/>
        <v>61818060</v>
      </c>
      <c r="C22" s="33">
        <f t="shared" si="13"/>
        <v>38636287.5</v>
      </c>
      <c r="D22" s="126">
        <f t="shared" si="0"/>
        <v>100454347.5</v>
      </c>
      <c r="E22" s="134">
        <f t="shared" si="14"/>
        <v>0.01</v>
      </c>
      <c r="F22" s="135">
        <f t="shared" si="1"/>
        <v>32145391.199999999</v>
      </c>
      <c r="G22" s="135">
        <f t="shared" si="2"/>
        <v>20090869.5</v>
      </c>
      <c r="H22" s="135">
        <f t="shared" si="3"/>
        <v>15068152.125</v>
      </c>
      <c r="I22" s="135">
        <f t="shared" si="4"/>
        <v>2009086.95</v>
      </c>
      <c r="J22" s="135">
        <f t="shared" si="5"/>
        <v>5022717.375</v>
      </c>
      <c r="K22" s="135">
        <f t="shared" si="6"/>
        <v>2009086.95</v>
      </c>
      <c r="L22" s="135">
        <f t="shared" si="7"/>
        <v>2009086.95</v>
      </c>
      <c r="M22" s="129">
        <f t="shared" si="8"/>
        <v>78354391.050000012</v>
      </c>
      <c r="N22" s="130">
        <f t="shared" si="9"/>
        <v>22099956.449999988</v>
      </c>
      <c r="O22" s="131">
        <f t="shared" si="10"/>
        <v>2195836.666666667</v>
      </c>
      <c r="P22" s="132">
        <f t="shared" si="11"/>
        <v>19904119.78333332</v>
      </c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</row>
    <row r="23" spans="1:67" ht="12.75" customHeight="1" x14ac:dyDescent="0.15">
      <c r="A23" s="125">
        <v>5</v>
      </c>
      <c r="B23" s="27">
        <f t="shared" si="12"/>
        <v>62436240.600000001</v>
      </c>
      <c r="C23" s="27">
        <f t="shared" si="13"/>
        <v>39022650.375</v>
      </c>
      <c r="D23" s="126">
        <f t="shared" si="0"/>
        <v>101458890.97499999</v>
      </c>
      <c r="E23" s="127">
        <f t="shared" si="14"/>
        <v>9.9999999999999412E-3</v>
      </c>
      <c r="F23" s="128">
        <f t="shared" si="1"/>
        <v>32466845.112</v>
      </c>
      <c r="G23" s="128">
        <f t="shared" si="2"/>
        <v>20291778.195</v>
      </c>
      <c r="H23" s="128">
        <f t="shared" si="3"/>
        <v>15218833.646249998</v>
      </c>
      <c r="I23" s="128">
        <f t="shared" si="4"/>
        <v>2029177.8195</v>
      </c>
      <c r="J23" s="128">
        <f t="shared" si="5"/>
        <v>5072944.5487500001</v>
      </c>
      <c r="K23" s="128">
        <f t="shared" si="6"/>
        <v>2029177.8195</v>
      </c>
      <c r="L23" s="128">
        <f t="shared" si="7"/>
        <v>2029177.8195</v>
      </c>
      <c r="M23" s="129">
        <f t="shared" si="8"/>
        <v>79137934.960499987</v>
      </c>
      <c r="N23" s="130">
        <f t="shared" si="9"/>
        <v>22320956.014500007</v>
      </c>
      <c r="O23" s="131">
        <f t="shared" si="10"/>
        <v>2195836.666666667</v>
      </c>
      <c r="P23" s="132">
        <f t="shared" si="11"/>
        <v>20125119.347833339</v>
      </c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</row>
    <row r="24" spans="1:67" ht="12.75" customHeight="1" x14ac:dyDescent="0.15">
      <c r="A24" s="133">
        <v>6</v>
      </c>
      <c r="B24" s="33">
        <f t="shared" si="12"/>
        <v>63060603.006000005</v>
      </c>
      <c r="C24" s="33">
        <f t="shared" si="13"/>
        <v>39412876.878750004</v>
      </c>
      <c r="D24" s="126">
        <f t="shared" si="0"/>
        <v>102473479.88475001</v>
      </c>
      <c r="E24" s="134">
        <f t="shared" si="14"/>
        <v>1.0000000000000144E-2</v>
      </c>
      <c r="F24" s="135">
        <f t="shared" si="1"/>
        <v>32791513.563120004</v>
      </c>
      <c r="G24" s="135">
        <f t="shared" si="2"/>
        <v>20494695.976950005</v>
      </c>
      <c r="H24" s="135">
        <f t="shared" si="3"/>
        <v>15371021.9827125</v>
      </c>
      <c r="I24" s="135">
        <f t="shared" si="4"/>
        <v>2049469.5976950002</v>
      </c>
      <c r="J24" s="135">
        <f t="shared" si="5"/>
        <v>5123673.9942375012</v>
      </c>
      <c r="K24" s="135">
        <f t="shared" si="6"/>
        <v>2049469.5976950002</v>
      </c>
      <c r="L24" s="135">
        <f t="shared" si="7"/>
        <v>2049469.5976950002</v>
      </c>
      <c r="M24" s="129">
        <f t="shared" si="8"/>
        <v>79929314.310104981</v>
      </c>
      <c r="N24" s="130">
        <f t="shared" si="9"/>
        <v>22544165.574645028</v>
      </c>
      <c r="O24" s="131">
        <f t="shared" si="10"/>
        <v>2195836.666666667</v>
      </c>
      <c r="P24" s="132">
        <f t="shared" si="11"/>
        <v>20348328.90797836</v>
      </c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2"/>
      <c r="AZ24" s="82"/>
      <c r="BA24" s="82"/>
      <c r="BB24" s="82"/>
      <c r="BC24" s="82"/>
      <c r="BD24" s="82"/>
      <c r="BE24" s="82"/>
      <c r="BF24" s="82"/>
      <c r="BG24" s="82"/>
      <c r="BH24" s="82"/>
      <c r="BI24" s="82"/>
      <c r="BJ24" s="82"/>
      <c r="BK24" s="82"/>
      <c r="BL24" s="82"/>
      <c r="BM24" s="82"/>
      <c r="BN24" s="82"/>
      <c r="BO24" s="82"/>
    </row>
    <row r="25" spans="1:67" ht="12.75" customHeight="1" x14ac:dyDescent="0.15">
      <c r="A25" s="125">
        <v>7</v>
      </c>
      <c r="B25" s="27">
        <f t="shared" si="12"/>
        <v>63691209.036060005</v>
      </c>
      <c r="C25" s="27">
        <f t="shared" si="13"/>
        <v>39807005.647537507</v>
      </c>
      <c r="D25" s="126">
        <f t="shared" si="0"/>
        <v>103498214.68359751</v>
      </c>
      <c r="E25" s="127">
        <f t="shared" si="14"/>
        <v>9.9999999999999655E-3</v>
      </c>
      <c r="F25" s="128">
        <f t="shared" si="1"/>
        <v>33119428.698751204</v>
      </c>
      <c r="G25" s="128">
        <f t="shared" si="2"/>
        <v>20699642.936719503</v>
      </c>
      <c r="H25" s="128">
        <f t="shared" si="3"/>
        <v>15524732.202539625</v>
      </c>
      <c r="I25" s="128">
        <f t="shared" si="4"/>
        <v>2069964.2936719502</v>
      </c>
      <c r="J25" s="128">
        <f t="shared" si="5"/>
        <v>5174910.7341798758</v>
      </c>
      <c r="K25" s="128">
        <f t="shared" si="6"/>
        <v>2069964.2936719502</v>
      </c>
      <c r="L25" s="128">
        <f t="shared" si="7"/>
        <v>2069964.2936719502</v>
      </c>
      <c r="M25" s="129">
        <f t="shared" si="8"/>
        <v>80728607.453206047</v>
      </c>
      <c r="N25" s="130">
        <f t="shared" si="9"/>
        <v>22769607.230391458</v>
      </c>
      <c r="O25" s="131">
        <f t="shared" si="10"/>
        <v>2195836.666666667</v>
      </c>
      <c r="P25" s="132">
        <f t="shared" si="11"/>
        <v>20573770.56372479</v>
      </c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2"/>
      <c r="AX25" s="82"/>
      <c r="AY25" s="82"/>
      <c r="AZ25" s="82"/>
      <c r="BA25" s="82"/>
      <c r="BB25" s="82"/>
      <c r="BC25" s="82"/>
      <c r="BD25" s="82"/>
      <c r="BE25" s="82"/>
      <c r="BF25" s="82"/>
      <c r="BG25" s="82"/>
      <c r="BH25" s="82"/>
      <c r="BI25" s="82"/>
      <c r="BJ25" s="82"/>
      <c r="BK25" s="82"/>
      <c r="BL25" s="82"/>
      <c r="BM25" s="82"/>
      <c r="BN25" s="82"/>
      <c r="BO25" s="82"/>
    </row>
    <row r="26" spans="1:67" ht="12.75" customHeight="1" x14ac:dyDescent="0.15">
      <c r="A26" s="133">
        <v>8</v>
      </c>
      <c r="B26" s="33">
        <f t="shared" si="12"/>
        <v>64328121.12642061</v>
      </c>
      <c r="C26" s="33">
        <f t="shared" si="13"/>
        <v>40205075.704012886</v>
      </c>
      <c r="D26" s="126">
        <f t="shared" si="0"/>
        <v>104533196.83043349</v>
      </c>
      <c r="E26" s="134">
        <f t="shared" si="14"/>
        <v>1.0000000000000075E-2</v>
      </c>
      <c r="F26" s="135">
        <f t="shared" si="1"/>
        <v>33450622.985738717</v>
      </c>
      <c r="G26" s="135">
        <f t="shared" si="2"/>
        <v>20906639.366086699</v>
      </c>
      <c r="H26" s="135">
        <f t="shared" si="3"/>
        <v>15679979.524565022</v>
      </c>
      <c r="I26" s="135">
        <f t="shared" si="4"/>
        <v>2090663.9366086698</v>
      </c>
      <c r="J26" s="135">
        <f t="shared" si="5"/>
        <v>5226659.8415216748</v>
      </c>
      <c r="K26" s="135">
        <f t="shared" si="6"/>
        <v>2090663.9366086698</v>
      </c>
      <c r="L26" s="135">
        <f t="shared" si="7"/>
        <v>2090663.9366086698</v>
      </c>
      <c r="M26" s="129">
        <f t="shared" si="8"/>
        <v>81535893.527738139</v>
      </c>
      <c r="N26" s="130">
        <f t="shared" si="9"/>
        <v>22997303.302695349</v>
      </c>
      <c r="O26" s="131">
        <f t="shared" si="10"/>
        <v>2195836.666666667</v>
      </c>
      <c r="P26" s="132">
        <f t="shared" si="11"/>
        <v>20801466.636028681</v>
      </c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2"/>
      <c r="BM26" s="82"/>
      <c r="BN26" s="82"/>
      <c r="BO26" s="82"/>
    </row>
    <row r="27" spans="1:67" ht="12.75" customHeight="1" x14ac:dyDescent="0.15">
      <c r="A27" s="125">
        <v>9</v>
      </c>
      <c r="B27" s="27">
        <f t="shared" si="12"/>
        <v>64971402.337684818</v>
      </c>
      <c r="C27" s="27">
        <f t="shared" si="13"/>
        <v>40607126.461053014</v>
      </c>
      <c r="D27" s="126">
        <f t="shared" si="0"/>
        <v>105578528.79873782</v>
      </c>
      <c r="E27" s="127">
        <f t="shared" si="14"/>
        <v>1.0000000000000011E-2</v>
      </c>
      <c r="F27" s="128">
        <f t="shared" si="1"/>
        <v>33785129.215596102</v>
      </c>
      <c r="G27" s="128">
        <f t="shared" si="2"/>
        <v>21115705.759747565</v>
      </c>
      <c r="H27" s="128">
        <f t="shared" si="3"/>
        <v>15836779.319810674</v>
      </c>
      <c r="I27" s="128">
        <f t="shared" si="4"/>
        <v>2111570.5759747564</v>
      </c>
      <c r="J27" s="128">
        <f t="shared" si="5"/>
        <v>5278926.4399368912</v>
      </c>
      <c r="K27" s="128">
        <f t="shared" si="6"/>
        <v>2111570.5759747564</v>
      </c>
      <c r="L27" s="128">
        <f t="shared" si="7"/>
        <v>2111570.5759747564</v>
      </c>
      <c r="M27" s="129">
        <f t="shared" si="8"/>
        <v>82351252.463015512</v>
      </c>
      <c r="N27" s="130">
        <f t="shared" si="9"/>
        <v>23227276.335722312</v>
      </c>
      <c r="O27" s="131">
        <f t="shared" si="10"/>
        <v>2195836.666666667</v>
      </c>
      <c r="P27" s="132">
        <f t="shared" si="11"/>
        <v>21031439.669055644</v>
      </c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2"/>
      <c r="AO27" s="82"/>
      <c r="AP27" s="82"/>
      <c r="AQ27" s="82"/>
      <c r="AR27" s="82"/>
      <c r="AS27" s="82"/>
      <c r="AT27" s="82"/>
      <c r="AU27" s="82"/>
      <c r="AV27" s="82"/>
      <c r="AW27" s="82"/>
      <c r="AX27" s="82"/>
      <c r="AY27" s="82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</row>
    <row r="28" spans="1:67" ht="15" customHeight="1" x14ac:dyDescent="0.15">
      <c r="A28" s="133">
        <v>10</v>
      </c>
      <c r="B28" s="33">
        <f t="shared" si="12"/>
        <v>65621116.36106167</v>
      </c>
      <c r="C28" s="33">
        <f t="shared" si="13"/>
        <v>41013197.725663543</v>
      </c>
      <c r="D28" s="126">
        <f t="shared" si="0"/>
        <v>106634314.08672521</v>
      </c>
      <c r="E28" s="134">
        <f t="shared" si="14"/>
        <v>1.0000000000000028E-2</v>
      </c>
      <c r="F28" s="135">
        <f t="shared" si="1"/>
        <v>34122980.507752068</v>
      </c>
      <c r="G28" s="135">
        <f t="shared" si="2"/>
        <v>21326862.817345042</v>
      </c>
      <c r="H28" s="135">
        <f t="shared" si="3"/>
        <v>15995147.11300878</v>
      </c>
      <c r="I28" s="135">
        <f t="shared" si="4"/>
        <v>2132686.2817345043</v>
      </c>
      <c r="J28" s="135">
        <f t="shared" si="5"/>
        <v>5331715.7043362604</v>
      </c>
      <c r="K28" s="135">
        <f t="shared" si="6"/>
        <v>2132686.2817345043</v>
      </c>
      <c r="L28" s="135">
        <f t="shared" si="7"/>
        <v>2132686.2817345043</v>
      </c>
      <c r="M28" s="129">
        <f t="shared" si="8"/>
        <v>83174764.987645686</v>
      </c>
      <c r="N28" s="130">
        <f t="shared" si="9"/>
        <v>23459549.09907952</v>
      </c>
      <c r="O28" s="131">
        <f t="shared" si="10"/>
        <v>2195836.666666667</v>
      </c>
      <c r="P28" s="132">
        <f t="shared" si="11"/>
        <v>21263712.432412852</v>
      </c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2"/>
      <c r="BM28" s="82"/>
      <c r="BN28" s="82"/>
      <c r="BO28" s="82"/>
    </row>
    <row r="29" spans="1:67" ht="12.75" customHeight="1" x14ac:dyDescent="0.15">
      <c r="A29" s="125">
        <v>11</v>
      </c>
      <c r="B29" s="27">
        <f t="shared" si="12"/>
        <v>66277327.524672285</v>
      </c>
      <c r="C29" s="27">
        <f t="shared" si="13"/>
        <v>41423329.702920176</v>
      </c>
      <c r="D29" s="126">
        <f t="shared" si="0"/>
        <v>107700657.22759247</v>
      </c>
      <c r="E29" s="127">
        <f t="shared" si="14"/>
        <v>1.0000000000000103E-2</v>
      </c>
      <c r="F29" s="128">
        <f t="shared" si="1"/>
        <v>34464210.312829591</v>
      </c>
      <c r="G29" s="128">
        <f t="shared" si="2"/>
        <v>21540131.445518494</v>
      </c>
      <c r="H29" s="128">
        <f t="shared" si="3"/>
        <v>16155098.58413887</v>
      </c>
      <c r="I29" s="128">
        <f t="shared" si="4"/>
        <v>2154013.1445518495</v>
      </c>
      <c r="J29" s="128">
        <f t="shared" si="5"/>
        <v>5385032.8613796234</v>
      </c>
      <c r="K29" s="128">
        <f t="shared" si="6"/>
        <v>2154013.1445518495</v>
      </c>
      <c r="L29" s="128">
        <f t="shared" si="7"/>
        <v>2154013.1445518495</v>
      </c>
      <c r="M29" s="129">
        <f t="shared" si="8"/>
        <v>84006512.637522101</v>
      </c>
      <c r="N29" s="130">
        <f t="shared" si="9"/>
        <v>23694144.590070367</v>
      </c>
      <c r="O29" s="131">
        <f t="shared" si="10"/>
        <v>2195836.666666667</v>
      </c>
      <c r="P29" s="132">
        <f t="shared" si="11"/>
        <v>21498307.923403699</v>
      </c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D29" s="82"/>
      <c r="AE29" s="82"/>
      <c r="AF29" s="82"/>
      <c r="AG29" s="82"/>
      <c r="AH29" s="82"/>
      <c r="AI29" s="82"/>
      <c r="AJ29" s="82"/>
      <c r="AK29" s="82"/>
      <c r="AL29" s="82"/>
      <c r="AM29" s="82"/>
      <c r="AN29" s="82"/>
      <c r="AO29" s="82"/>
      <c r="AP29" s="82"/>
      <c r="AQ29" s="82"/>
      <c r="AR29" s="82"/>
      <c r="AS29" s="82"/>
      <c r="AT29" s="82"/>
      <c r="AU29" s="82"/>
      <c r="AV29" s="82"/>
      <c r="AW29" s="82"/>
      <c r="AX29" s="82"/>
      <c r="AY29" s="82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</row>
    <row r="30" spans="1:67" ht="12.75" customHeight="1" x14ac:dyDescent="0.15">
      <c r="A30" s="133">
        <v>12</v>
      </c>
      <c r="B30" s="33">
        <f t="shared" si="12"/>
        <v>66940100.799919009</v>
      </c>
      <c r="C30" s="33">
        <f t="shared" si="13"/>
        <v>41837562.999949381</v>
      </c>
      <c r="D30" s="126">
        <f t="shared" si="0"/>
        <v>108777663.79986839</v>
      </c>
      <c r="E30" s="134">
        <f t="shared" si="14"/>
        <v>9.9999999999999725E-3</v>
      </c>
      <c r="F30" s="135">
        <f t="shared" si="1"/>
        <v>34808852.415957883</v>
      </c>
      <c r="G30" s="135">
        <f t="shared" si="2"/>
        <v>21755532.759973679</v>
      </c>
      <c r="H30" s="135">
        <f t="shared" si="3"/>
        <v>16316649.569980258</v>
      </c>
      <c r="I30" s="135">
        <f t="shared" si="4"/>
        <v>2175553.2759973677</v>
      </c>
      <c r="J30" s="135">
        <f t="shared" si="5"/>
        <v>5438883.1899934197</v>
      </c>
      <c r="K30" s="135">
        <f t="shared" si="6"/>
        <v>2175553.2759973677</v>
      </c>
      <c r="L30" s="135">
        <f t="shared" si="7"/>
        <v>2175553.2759973677</v>
      </c>
      <c r="M30" s="129">
        <f t="shared" si="8"/>
        <v>84846577.763897359</v>
      </c>
      <c r="N30" s="130">
        <f t="shared" si="9"/>
        <v>23931086.035971031</v>
      </c>
      <c r="O30" s="131">
        <f t="shared" si="10"/>
        <v>2195836.666666667</v>
      </c>
      <c r="P30" s="132">
        <f t="shared" si="11"/>
        <v>21735249.369304363</v>
      </c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82"/>
      <c r="AP30" s="82"/>
      <c r="AQ30" s="82"/>
      <c r="AR30" s="82"/>
      <c r="AS30" s="82"/>
      <c r="AT30" s="82"/>
      <c r="AU30" s="82"/>
      <c r="AV30" s="82"/>
      <c r="AW30" s="82"/>
      <c r="AX30" s="82"/>
      <c r="AY30" s="82"/>
      <c r="AZ30" s="82"/>
      <c r="BA30" s="82"/>
      <c r="BB30" s="82"/>
      <c r="BC30" s="82"/>
      <c r="BD30" s="82"/>
      <c r="BE30" s="82"/>
      <c r="BF30" s="82"/>
      <c r="BG30" s="82"/>
      <c r="BH30" s="82"/>
      <c r="BI30" s="82"/>
      <c r="BJ30" s="82"/>
      <c r="BK30" s="82"/>
      <c r="BL30" s="82"/>
      <c r="BM30" s="82"/>
      <c r="BN30" s="82"/>
      <c r="BO30" s="82"/>
    </row>
    <row r="31" spans="1:67" ht="12.75" customHeight="1" x14ac:dyDescent="0.15">
      <c r="A31" s="125">
        <v>13</v>
      </c>
      <c r="B31" s="27">
        <f t="shared" si="12"/>
        <v>67609501.807918206</v>
      </c>
      <c r="C31" s="27">
        <f t="shared" si="13"/>
        <v>42255938.629948877</v>
      </c>
      <c r="D31" s="126">
        <f t="shared" si="0"/>
        <v>109865440.43786708</v>
      </c>
      <c r="E31" s="127">
        <f t="shared" si="14"/>
        <v>1.0000000000000012E-2</v>
      </c>
      <c r="F31" s="128">
        <f t="shared" si="1"/>
        <v>35156940.940117463</v>
      </c>
      <c r="G31" s="128">
        <f t="shared" si="2"/>
        <v>21973088.087573417</v>
      </c>
      <c r="H31" s="128">
        <f t="shared" si="3"/>
        <v>16479816.065680061</v>
      </c>
      <c r="I31" s="128">
        <f t="shared" si="4"/>
        <v>2197308.8087573415</v>
      </c>
      <c r="J31" s="128">
        <f t="shared" si="5"/>
        <v>5493272.0218933541</v>
      </c>
      <c r="K31" s="128">
        <f t="shared" si="6"/>
        <v>2197308.8087573415</v>
      </c>
      <c r="L31" s="128">
        <f t="shared" si="7"/>
        <v>2197308.8087573415</v>
      </c>
      <c r="M31" s="129">
        <f t="shared" si="8"/>
        <v>85695043.541536301</v>
      </c>
      <c r="N31" s="130">
        <f t="shared" si="9"/>
        <v>24170396.896330774</v>
      </c>
      <c r="O31" s="131">
        <f t="shared" si="10"/>
        <v>2195836.666666667</v>
      </c>
      <c r="P31" s="132">
        <f t="shared" si="11"/>
        <v>21974560.229664106</v>
      </c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</row>
    <row r="32" spans="1:67" ht="15" customHeight="1" x14ac:dyDescent="0.15">
      <c r="A32" s="133">
        <v>14</v>
      </c>
      <c r="B32" s="33">
        <f t="shared" si="12"/>
        <v>68285596.825997382</v>
      </c>
      <c r="C32" s="33">
        <f t="shared" si="13"/>
        <v>42678498.016248368</v>
      </c>
      <c r="D32" s="126">
        <f t="shared" si="0"/>
        <v>110964094.84224576</v>
      </c>
      <c r="E32" s="134">
        <f t="shared" si="14"/>
        <v>1.0000000000000106E-2</v>
      </c>
      <c r="F32" s="135">
        <f t="shared" si="1"/>
        <v>35508510.349518642</v>
      </c>
      <c r="G32" s="135">
        <f t="shared" si="2"/>
        <v>22192818.968449153</v>
      </c>
      <c r="H32" s="135">
        <f t="shared" si="3"/>
        <v>16644614.226336863</v>
      </c>
      <c r="I32" s="135">
        <f t="shared" si="4"/>
        <v>2219281.8968449151</v>
      </c>
      <c r="J32" s="135">
        <f t="shared" si="5"/>
        <v>5548204.7421122883</v>
      </c>
      <c r="K32" s="135">
        <f t="shared" si="6"/>
        <v>2219281.8968449151</v>
      </c>
      <c r="L32" s="135">
        <f t="shared" si="7"/>
        <v>2219281.8968449151</v>
      </c>
      <c r="M32" s="129">
        <f t="shared" si="8"/>
        <v>86551993.976951674</v>
      </c>
      <c r="N32" s="130">
        <f t="shared" si="9"/>
        <v>24412100.865294084</v>
      </c>
      <c r="O32" s="131">
        <f t="shared" si="10"/>
        <v>2195836.666666667</v>
      </c>
      <c r="P32" s="132">
        <f t="shared" si="11"/>
        <v>22216264.198627416</v>
      </c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2"/>
      <c r="BA32" s="82"/>
      <c r="BB32" s="82"/>
      <c r="BC32" s="82"/>
      <c r="BD32" s="82"/>
      <c r="BE32" s="82"/>
      <c r="BF32" s="82"/>
      <c r="BG32" s="82"/>
      <c r="BH32" s="82"/>
      <c r="BI32" s="82"/>
      <c r="BJ32" s="82"/>
      <c r="BK32" s="82"/>
      <c r="BL32" s="82"/>
      <c r="BM32" s="82"/>
      <c r="BN32" s="82"/>
      <c r="BO32" s="82"/>
    </row>
    <row r="33" spans="1:67" ht="13" customHeight="1" x14ac:dyDescent="0.15">
      <c r="A33" s="125">
        <v>15</v>
      </c>
      <c r="B33" s="27">
        <f t="shared" si="12"/>
        <v>68968452.794257358</v>
      </c>
      <c r="C33" s="27">
        <f t="shared" si="13"/>
        <v>43105282.996410854</v>
      </c>
      <c r="D33" s="126">
        <f t="shared" si="0"/>
        <v>112073735.79066822</v>
      </c>
      <c r="E33" s="127">
        <f t="shared" si="14"/>
        <v>1.0000000000000038E-2</v>
      </c>
      <c r="F33" s="128">
        <f t="shared" si="1"/>
        <v>35863595.45301383</v>
      </c>
      <c r="G33" s="128">
        <f t="shared" si="2"/>
        <v>22414747.158133645</v>
      </c>
      <c r="H33" s="128">
        <f t="shared" si="3"/>
        <v>16811060.368600231</v>
      </c>
      <c r="I33" s="128">
        <f t="shared" si="4"/>
        <v>2241474.7158133644</v>
      </c>
      <c r="J33" s="128">
        <f t="shared" si="5"/>
        <v>5603686.7895334112</v>
      </c>
      <c r="K33" s="128">
        <f t="shared" si="6"/>
        <v>2241474.7158133644</v>
      </c>
      <c r="L33" s="128">
        <f t="shared" si="7"/>
        <v>2241474.7158133644</v>
      </c>
      <c r="M33" s="129">
        <f t="shared" si="8"/>
        <v>87417513.916721225</v>
      </c>
      <c r="N33" s="130">
        <f t="shared" si="9"/>
        <v>24656221.873946995</v>
      </c>
      <c r="O33" s="131">
        <f t="shared" si="10"/>
        <v>2195836.666666667</v>
      </c>
      <c r="P33" s="132">
        <f t="shared" si="11"/>
        <v>22460385.207280327</v>
      </c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</row>
    <row r="34" spans="1:67" ht="12.75" customHeight="1" x14ac:dyDescent="0.15">
      <c r="A34" s="133">
        <v>16</v>
      </c>
      <c r="B34" s="33">
        <f t="shared" si="12"/>
        <v>69658137.322199926</v>
      </c>
      <c r="C34" s="33">
        <f t="shared" si="13"/>
        <v>43536335.826374963</v>
      </c>
      <c r="D34" s="126">
        <f t="shared" si="0"/>
        <v>113194473.14857489</v>
      </c>
      <c r="E34" s="134">
        <f t="shared" si="14"/>
        <v>9.9999999999998857E-3</v>
      </c>
      <c r="F34" s="135">
        <f t="shared" si="1"/>
        <v>36222231.407543965</v>
      </c>
      <c r="G34" s="135">
        <f t="shared" si="2"/>
        <v>22638894.629714981</v>
      </c>
      <c r="H34" s="135">
        <f t="shared" si="3"/>
        <v>16979170.972286232</v>
      </c>
      <c r="I34" s="135">
        <f t="shared" si="4"/>
        <v>2263889.4629714978</v>
      </c>
      <c r="J34" s="135">
        <f t="shared" si="5"/>
        <v>5659723.6574287452</v>
      </c>
      <c r="K34" s="135">
        <f t="shared" si="6"/>
        <v>2263889.4629714978</v>
      </c>
      <c r="L34" s="135">
        <f t="shared" si="7"/>
        <v>2263889.4629714978</v>
      </c>
      <c r="M34" s="129">
        <f t="shared" si="8"/>
        <v>88291689.055888399</v>
      </c>
      <c r="N34" s="130">
        <f t="shared" si="9"/>
        <v>24902784.092686489</v>
      </c>
      <c r="O34" s="131">
        <f t="shared" si="10"/>
        <v>2195836.666666667</v>
      </c>
      <c r="P34" s="132">
        <f t="shared" si="11"/>
        <v>22706947.426019821</v>
      </c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82"/>
      <c r="BN34" s="82"/>
      <c r="BO34" s="82"/>
    </row>
    <row r="35" spans="1:67" ht="12.75" customHeight="1" x14ac:dyDescent="0.15">
      <c r="A35" s="125">
        <v>17</v>
      </c>
      <c r="B35" s="27">
        <f t="shared" si="12"/>
        <v>70354718.695421919</v>
      </c>
      <c r="C35" s="27">
        <f t="shared" si="13"/>
        <v>43971699.184638716</v>
      </c>
      <c r="D35" s="126">
        <f t="shared" si="0"/>
        <v>114326417.88006064</v>
      </c>
      <c r="E35" s="127">
        <f t="shared" si="14"/>
        <v>1.0000000000000047E-2</v>
      </c>
      <c r="F35" s="128">
        <f t="shared" si="1"/>
        <v>36584453.721619405</v>
      </c>
      <c r="G35" s="128">
        <f t="shared" si="2"/>
        <v>22865283.576012131</v>
      </c>
      <c r="H35" s="128">
        <f t="shared" si="3"/>
        <v>17148962.682009097</v>
      </c>
      <c r="I35" s="128">
        <f t="shared" si="4"/>
        <v>2286528.3576012128</v>
      </c>
      <c r="J35" s="128">
        <f t="shared" si="5"/>
        <v>5716320.8940030327</v>
      </c>
      <c r="K35" s="128">
        <f t="shared" si="6"/>
        <v>2286528.3576012128</v>
      </c>
      <c r="L35" s="128">
        <f t="shared" si="7"/>
        <v>2286528.3576012128</v>
      </c>
      <c r="M35" s="129">
        <f t="shared" si="8"/>
        <v>89174605.946447298</v>
      </c>
      <c r="N35" s="130">
        <f t="shared" si="9"/>
        <v>25151811.933613345</v>
      </c>
      <c r="O35" s="131">
        <f t="shared" si="10"/>
        <v>2195836.666666667</v>
      </c>
      <c r="P35" s="132">
        <f t="shared" si="11"/>
        <v>22955975.266946677</v>
      </c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2"/>
      <c r="AR35" s="82"/>
      <c r="AS35" s="82"/>
      <c r="AT35" s="82"/>
      <c r="AU35" s="82"/>
      <c r="AV35" s="82"/>
      <c r="AW35" s="82"/>
      <c r="AX35" s="82"/>
      <c r="AY35" s="82"/>
      <c r="AZ35" s="82"/>
      <c r="BA35" s="82"/>
      <c r="BB35" s="82"/>
      <c r="BC35" s="82"/>
      <c r="BD35" s="82"/>
      <c r="BE35" s="82"/>
      <c r="BF35" s="82"/>
      <c r="BG35" s="82"/>
      <c r="BH35" s="82"/>
      <c r="BI35" s="82"/>
      <c r="BJ35" s="82"/>
      <c r="BK35" s="82"/>
      <c r="BL35" s="82"/>
      <c r="BM35" s="82"/>
      <c r="BN35" s="82"/>
      <c r="BO35" s="82"/>
    </row>
    <row r="36" spans="1:67" ht="12.75" customHeight="1" x14ac:dyDescent="0.15">
      <c r="A36" s="133">
        <v>18</v>
      </c>
      <c r="B36" s="33">
        <f t="shared" si="12"/>
        <v>71058265.882376134</v>
      </c>
      <c r="C36" s="33">
        <f t="shared" si="13"/>
        <v>44411416.176485106</v>
      </c>
      <c r="D36" s="126">
        <f t="shared" si="0"/>
        <v>115469682.05886124</v>
      </c>
      <c r="E36" s="134">
        <f t="shared" si="14"/>
        <v>9.9999999999999239E-3</v>
      </c>
      <c r="F36" s="135">
        <f t="shared" si="1"/>
        <v>36950298.258835599</v>
      </c>
      <c r="G36" s="135">
        <f t="shared" si="2"/>
        <v>23093936.411772251</v>
      </c>
      <c r="H36" s="135">
        <f t="shared" si="3"/>
        <v>17320452.308829185</v>
      </c>
      <c r="I36" s="135">
        <f t="shared" si="4"/>
        <v>2309393.6411772249</v>
      </c>
      <c r="J36" s="135">
        <f t="shared" si="5"/>
        <v>5773484.1029430628</v>
      </c>
      <c r="K36" s="135">
        <f t="shared" si="6"/>
        <v>2309393.6411772249</v>
      </c>
      <c r="L36" s="135">
        <f t="shared" si="7"/>
        <v>2309393.6411772249</v>
      </c>
      <c r="M36" s="129">
        <f t="shared" si="8"/>
        <v>90066352.005911767</v>
      </c>
      <c r="N36" s="130">
        <f t="shared" si="9"/>
        <v>25403330.052949473</v>
      </c>
      <c r="O36" s="131">
        <f t="shared" si="10"/>
        <v>2195836.666666667</v>
      </c>
      <c r="P36" s="132">
        <f t="shared" si="11"/>
        <v>23207493.386282805</v>
      </c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</row>
    <row r="37" spans="1:67" ht="12.75" customHeight="1" x14ac:dyDescent="0.15">
      <c r="A37" s="125">
        <v>19</v>
      </c>
      <c r="B37" s="27">
        <f t="shared" si="12"/>
        <v>71768848.541199893</v>
      </c>
      <c r="C37" s="27">
        <f t="shared" si="13"/>
        <v>44855530.338249959</v>
      </c>
      <c r="D37" s="126">
        <f t="shared" si="0"/>
        <v>116624378.87944984</v>
      </c>
      <c r="E37" s="127">
        <f t="shared" si="14"/>
        <v>9.9999999999999239E-3</v>
      </c>
      <c r="F37" s="128">
        <f t="shared" si="1"/>
        <v>37319801.24142395</v>
      </c>
      <c r="G37" s="128">
        <f t="shared" si="2"/>
        <v>23324875.77588997</v>
      </c>
      <c r="H37" s="128">
        <f t="shared" si="3"/>
        <v>17493656.831917476</v>
      </c>
      <c r="I37" s="128">
        <f t="shared" si="4"/>
        <v>2332487.5775889968</v>
      </c>
      <c r="J37" s="128">
        <f t="shared" si="5"/>
        <v>5831218.9439724926</v>
      </c>
      <c r="K37" s="128">
        <f t="shared" si="6"/>
        <v>2332487.5775889968</v>
      </c>
      <c r="L37" s="128">
        <f t="shared" si="7"/>
        <v>2332487.5775889968</v>
      </c>
      <c r="M37" s="129">
        <f t="shared" si="8"/>
        <v>90967015.525970861</v>
      </c>
      <c r="N37" s="130">
        <f t="shared" si="9"/>
        <v>25657363.353478983</v>
      </c>
      <c r="O37" s="131">
        <f t="shared" si="10"/>
        <v>2195836.666666667</v>
      </c>
      <c r="P37" s="132">
        <f t="shared" si="11"/>
        <v>23461526.686812315</v>
      </c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</row>
    <row r="38" spans="1:67" ht="12.75" customHeight="1" x14ac:dyDescent="0.15">
      <c r="A38" s="133">
        <v>20</v>
      </c>
      <c r="B38" s="33">
        <f t="shared" si="12"/>
        <v>72486537.026611894</v>
      </c>
      <c r="C38" s="33">
        <f t="shared" si="13"/>
        <v>45304085.64163246</v>
      </c>
      <c r="D38" s="126">
        <f t="shared" si="0"/>
        <v>117790622.66824436</v>
      </c>
      <c r="E38" s="134">
        <f t="shared" si="14"/>
        <v>1.0000000000000163E-2</v>
      </c>
      <c r="F38" s="135">
        <f t="shared" si="1"/>
        <v>37692999.253838196</v>
      </c>
      <c r="G38" s="135">
        <f t="shared" si="2"/>
        <v>23558124.533648875</v>
      </c>
      <c r="H38" s="135">
        <f t="shared" si="3"/>
        <v>17668593.400236655</v>
      </c>
      <c r="I38" s="135">
        <f t="shared" si="4"/>
        <v>2355812.4533648873</v>
      </c>
      <c r="J38" s="135">
        <f t="shared" si="5"/>
        <v>5889531.1334122187</v>
      </c>
      <c r="K38" s="135">
        <f t="shared" si="6"/>
        <v>2355812.4533648873</v>
      </c>
      <c r="L38" s="135">
        <f t="shared" si="7"/>
        <v>2355812.4533648873</v>
      </c>
      <c r="M38" s="129">
        <f t="shared" si="8"/>
        <v>91876685.68123062</v>
      </c>
      <c r="N38" s="130">
        <f t="shared" si="9"/>
        <v>25913936.987013742</v>
      </c>
      <c r="O38" s="131">
        <f t="shared" si="10"/>
        <v>2195836.666666667</v>
      </c>
      <c r="P38" s="132">
        <f t="shared" si="11"/>
        <v>23718100.320347074</v>
      </c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</row>
    <row r="39" spans="1:67" ht="12.75" customHeight="1" x14ac:dyDescent="0.15">
      <c r="A39" s="125">
        <v>21</v>
      </c>
      <c r="B39" s="27">
        <f t="shared" si="12"/>
        <v>73211402.396878019</v>
      </c>
      <c r="C39" s="27">
        <f t="shared" si="13"/>
        <v>45757126.498048782</v>
      </c>
      <c r="D39" s="126">
        <f t="shared" si="0"/>
        <v>118968528.8949268</v>
      </c>
      <c r="E39" s="127">
        <f t="shared" si="14"/>
        <v>9.9999999999999638E-3</v>
      </c>
      <c r="F39" s="128">
        <f t="shared" si="1"/>
        <v>38069929.246376574</v>
      </c>
      <c r="G39" s="128">
        <f t="shared" si="2"/>
        <v>23793705.778985362</v>
      </c>
      <c r="H39" s="128">
        <f t="shared" si="3"/>
        <v>17845279.334239021</v>
      </c>
      <c r="I39" s="128">
        <f t="shared" si="4"/>
        <v>2379370.5778985359</v>
      </c>
      <c r="J39" s="128">
        <f t="shared" si="5"/>
        <v>5948426.4447463406</v>
      </c>
      <c r="K39" s="128">
        <f t="shared" si="6"/>
        <v>2379370.5778985359</v>
      </c>
      <c r="L39" s="128">
        <f t="shared" si="7"/>
        <v>2379370.5778985359</v>
      </c>
      <c r="M39" s="129">
        <f t="shared" si="8"/>
        <v>92795452.538042903</v>
      </c>
      <c r="N39" s="130">
        <f t="shared" si="9"/>
        <v>26173076.356883898</v>
      </c>
      <c r="O39" s="131">
        <f t="shared" si="10"/>
        <v>2195836.666666667</v>
      </c>
      <c r="P39" s="132">
        <f t="shared" si="11"/>
        <v>23977239.69021723</v>
      </c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</row>
    <row r="40" spans="1:67" ht="12.75" customHeight="1" x14ac:dyDescent="0.15">
      <c r="A40" s="133">
        <v>22</v>
      </c>
      <c r="B40" s="33">
        <f t="shared" si="12"/>
        <v>73943516.420846805</v>
      </c>
      <c r="C40" s="33">
        <f t="shared" si="13"/>
        <v>46214697.76302927</v>
      </c>
      <c r="D40" s="126">
        <f t="shared" si="0"/>
        <v>120158214.18387607</v>
      </c>
      <c r="E40" s="134">
        <f t="shared" si="14"/>
        <v>9.9999999999999829E-3</v>
      </c>
      <c r="F40" s="135">
        <f t="shared" si="1"/>
        <v>38450628.538840346</v>
      </c>
      <c r="G40" s="135">
        <f t="shared" si="2"/>
        <v>24031642.836775213</v>
      </c>
      <c r="H40" s="135">
        <f t="shared" si="3"/>
        <v>18023732.12758141</v>
      </c>
      <c r="I40" s="135">
        <f t="shared" si="4"/>
        <v>2403164.2836775216</v>
      </c>
      <c r="J40" s="135">
        <f t="shared" si="5"/>
        <v>6007910.7091938034</v>
      </c>
      <c r="K40" s="135">
        <f t="shared" si="6"/>
        <v>2403164.2836775216</v>
      </c>
      <c r="L40" s="135">
        <f t="shared" si="7"/>
        <v>2403164.2836775216</v>
      </c>
      <c r="M40" s="129">
        <f t="shared" si="8"/>
        <v>93723407.063423336</v>
      </c>
      <c r="N40" s="130">
        <f t="shared" si="9"/>
        <v>26434807.120452732</v>
      </c>
      <c r="O40" s="131">
        <f t="shared" si="10"/>
        <v>2195836.666666667</v>
      </c>
      <c r="P40" s="132">
        <f t="shared" si="11"/>
        <v>24238970.453786064</v>
      </c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2"/>
      <c r="AX40" s="82"/>
      <c r="AY40" s="82"/>
      <c r="AZ40" s="82"/>
      <c r="BA40" s="82"/>
      <c r="BB40" s="82"/>
      <c r="BC40" s="82"/>
      <c r="BD40" s="82"/>
      <c r="BE40" s="82"/>
      <c r="BF40" s="82"/>
      <c r="BG40" s="82"/>
      <c r="BH40" s="82"/>
      <c r="BI40" s="82"/>
      <c r="BJ40" s="82"/>
      <c r="BK40" s="82"/>
      <c r="BL40" s="82"/>
      <c r="BM40" s="82"/>
      <c r="BN40" s="82"/>
      <c r="BO40" s="82"/>
    </row>
    <row r="41" spans="1:67" ht="12.75" customHeight="1" x14ac:dyDescent="0.15">
      <c r="A41" s="125">
        <v>23</v>
      </c>
      <c r="B41" s="27">
        <f t="shared" si="12"/>
        <v>74682951.585055277</v>
      </c>
      <c r="C41" s="27">
        <f t="shared" si="13"/>
        <v>46676844.740659565</v>
      </c>
      <c r="D41" s="126">
        <f t="shared" si="0"/>
        <v>121359796.32571484</v>
      </c>
      <c r="E41" s="127">
        <f t="shared" si="14"/>
        <v>1.0000000000000111E-2</v>
      </c>
      <c r="F41" s="128">
        <f t="shared" si="1"/>
        <v>38835134.824228749</v>
      </c>
      <c r="G41" s="128">
        <f t="shared" si="2"/>
        <v>24271959.26514297</v>
      </c>
      <c r="H41" s="128">
        <f t="shared" si="3"/>
        <v>18203969.448857225</v>
      </c>
      <c r="I41" s="128">
        <f t="shared" si="4"/>
        <v>2427195.9265142968</v>
      </c>
      <c r="J41" s="128">
        <f t="shared" si="5"/>
        <v>6067989.8162857424</v>
      </c>
      <c r="K41" s="128">
        <f t="shared" si="6"/>
        <v>2427195.9265142968</v>
      </c>
      <c r="L41" s="128">
        <f t="shared" si="7"/>
        <v>2427195.9265142968</v>
      </c>
      <c r="M41" s="129">
        <f t="shared" si="8"/>
        <v>94660641.134057581</v>
      </c>
      <c r="N41" s="130">
        <f t="shared" si="9"/>
        <v>26699155.19165726</v>
      </c>
      <c r="O41" s="131">
        <f t="shared" si="10"/>
        <v>2195836.666666667</v>
      </c>
      <c r="P41" s="132">
        <f t="shared" si="11"/>
        <v>24503318.524990592</v>
      </c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2"/>
      <c r="AO41" s="82"/>
      <c r="AP41" s="82"/>
      <c r="AQ41" s="82"/>
      <c r="AR41" s="82"/>
      <c r="AS41" s="82"/>
      <c r="AT41" s="82"/>
      <c r="AU41" s="82"/>
      <c r="AV41" s="82"/>
      <c r="AW41" s="82"/>
      <c r="AX41" s="82"/>
      <c r="AY41" s="82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</row>
    <row r="42" spans="1:67" ht="12.75" customHeight="1" x14ac:dyDescent="0.15">
      <c r="A42" s="133">
        <v>24</v>
      </c>
      <c r="B42" s="33">
        <f t="shared" si="12"/>
        <v>75429781.100905836</v>
      </c>
      <c r="C42" s="33">
        <f t="shared" si="13"/>
        <v>47143613.188066162</v>
      </c>
      <c r="D42" s="126">
        <f t="shared" si="0"/>
        <v>122573394.28897199</v>
      </c>
      <c r="E42" s="134">
        <f t="shared" si="14"/>
        <v>1.0000000000000004E-2</v>
      </c>
      <c r="F42" s="135">
        <f t="shared" si="1"/>
        <v>39223486.172471039</v>
      </c>
      <c r="G42" s="135">
        <f t="shared" si="2"/>
        <v>24514678.8577944</v>
      </c>
      <c r="H42" s="135">
        <f t="shared" si="3"/>
        <v>18386009.143345799</v>
      </c>
      <c r="I42" s="135">
        <f t="shared" si="4"/>
        <v>2451467.8857794399</v>
      </c>
      <c r="J42" s="135">
        <f t="shared" si="5"/>
        <v>6128669.7144486001</v>
      </c>
      <c r="K42" s="135">
        <f t="shared" si="6"/>
        <v>2451467.8857794399</v>
      </c>
      <c r="L42" s="135">
        <f t="shared" si="7"/>
        <v>2451467.8857794399</v>
      </c>
      <c r="M42" s="129">
        <f t="shared" si="8"/>
        <v>95607247.545398161</v>
      </c>
      <c r="N42" s="130">
        <f t="shared" si="9"/>
        <v>26966146.74357383</v>
      </c>
      <c r="O42" s="131">
        <f t="shared" si="10"/>
        <v>2195836.666666667</v>
      </c>
      <c r="P42" s="132">
        <f t="shared" si="11"/>
        <v>24770310.076907162</v>
      </c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2"/>
      <c r="AO42" s="82"/>
      <c r="AP42" s="82"/>
      <c r="AQ42" s="82"/>
      <c r="AR42" s="82"/>
      <c r="AS42" s="82"/>
      <c r="AT42" s="82"/>
      <c r="AU42" s="82"/>
      <c r="AV42" s="82"/>
      <c r="AW42" s="82"/>
      <c r="AX42" s="82"/>
      <c r="AY42" s="82"/>
      <c r="AZ42" s="82"/>
      <c r="BA42" s="82"/>
      <c r="BB42" s="82"/>
      <c r="BC42" s="82"/>
      <c r="BD42" s="82"/>
      <c r="BE42" s="82"/>
      <c r="BF42" s="82"/>
      <c r="BG42" s="82"/>
      <c r="BH42" s="82"/>
      <c r="BI42" s="82"/>
      <c r="BJ42" s="82"/>
      <c r="BK42" s="82"/>
      <c r="BL42" s="82"/>
      <c r="BM42" s="82"/>
      <c r="BN42" s="82"/>
      <c r="BO42" s="82"/>
    </row>
    <row r="43" spans="1:67" ht="12.75" customHeight="1" x14ac:dyDescent="0.15">
      <c r="A43" s="125">
        <v>25</v>
      </c>
      <c r="B43" s="27">
        <f t="shared" si="12"/>
        <v>76184078.9119149</v>
      </c>
      <c r="C43" s="27">
        <f t="shared" si="13"/>
        <v>47615049.319946826</v>
      </c>
      <c r="D43" s="126">
        <f t="shared" si="0"/>
        <v>123799128.23186173</v>
      </c>
      <c r="E43" s="127">
        <f t="shared" si="14"/>
        <v>1.0000000000000123E-2</v>
      </c>
      <c r="F43" s="128">
        <f t="shared" si="1"/>
        <v>39615721.034195751</v>
      </c>
      <c r="G43" s="128">
        <f t="shared" si="2"/>
        <v>24759825.646372348</v>
      </c>
      <c r="H43" s="128">
        <f t="shared" si="3"/>
        <v>18569869.234779257</v>
      </c>
      <c r="I43" s="128">
        <f t="shared" si="4"/>
        <v>2475982.5646372344</v>
      </c>
      <c r="J43" s="128">
        <f t="shared" si="5"/>
        <v>6189956.411593087</v>
      </c>
      <c r="K43" s="128">
        <f t="shared" si="6"/>
        <v>2475982.5646372344</v>
      </c>
      <c r="L43" s="128">
        <f t="shared" si="7"/>
        <v>2475982.5646372344</v>
      </c>
      <c r="M43" s="129">
        <f t="shared" si="8"/>
        <v>96563320.020852119</v>
      </c>
      <c r="N43" s="130">
        <f t="shared" si="9"/>
        <v>27235808.211009607</v>
      </c>
      <c r="O43" s="131">
        <f t="shared" si="10"/>
        <v>2195836.666666667</v>
      </c>
      <c r="P43" s="132">
        <f t="shared" si="11"/>
        <v>25039971.544342939</v>
      </c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2"/>
      <c r="BH43" s="82"/>
      <c r="BI43" s="82"/>
      <c r="BJ43" s="82"/>
      <c r="BK43" s="82"/>
      <c r="BL43" s="82"/>
      <c r="BM43" s="82"/>
      <c r="BN43" s="82"/>
      <c r="BO43" s="82"/>
    </row>
    <row r="44" spans="1:67" ht="12.75" customHeight="1" x14ac:dyDescent="0.15">
      <c r="A44" s="133">
        <v>26</v>
      </c>
      <c r="B44" s="33">
        <f t="shared" si="12"/>
        <v>76945919.701034054</v>
      </c>
      <c r="C44" s="33">
        <f t="shared" si="13"/>
        <v>48091199.813146293</v>
      </c>
      <c r="D44" s="126">
        <f t="shared" si="0"/>
        <v>125037119.51418035</v>
      </c>
      <c r="E44" s="134">
        <f t="shared" si="14"/>
        <v>1.0000000000000037E-2</v>
      </c>
      <c r="F44" s="135">
        <f t="shared" si="1"/>
        <v>40011878.244537711</v>
      </c>
      <c r="G44" s="135">
        <f t="shared" si="2"/>
        <v>25007423.902836069</v>
      </c>
      <c r="H44" s="135">
        <f t="shared" si="3"/>
        <v>18755567.927127052</v>
      </c>
      <c r="I44" s="135">
        <f t="shared" si="4"/>
        <v>2500742.3902836069</v>
      </c>
      <c r="J44" s="135">
        <f t="shared" si="5"/>
        <v>6251855.9757090174</v>
      </c>
      <c r="K44" s="135">
        <f t="shared" si="6"/>
        <v>2500742.3902836069</v>
      </c>
      <c r="L44" s="135">
        <f t="shared" si="7"/>
        <v>2500742.3902836069</v>
      </c>
      <c r="M44" s="129">
        <f t="shared" si="8"/>
        <v>97528953.221060693</v>
      </c>
      <c r="N44" s="130">
        <f t="shared" si="9"/>
        <v>27508166.293119654</v>
      </c>
      <c r="O44" s="131">
        <f t="shared" si="10"/>
        <v>2195836.666666667</v>
      </c>
      <c r="P44" s="132">
        <f t="shared" si="11"/>
        <v>25312329.626452986</v>
      </c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2"/>
      <c r="AX44" s="82"/>
      <c r="AY44" s="82"/>
      <c r="AZ44" s="82"/>
      <c r="BA44" s="82"/>
      <c r="BB44" s="82"/>
      <c r="BC44" s="82"/>
      <c r="BD44" s="82"/>
      <c r="BE44" s="82"/>
      <c r="BF44" s="82"/>
      <c r="BG44" s="82"/>
      <c r="BH44" s="82"/>
      <c r="BI44" s="82"/>
      <c r="BJ44" s="82"/>
      <c r="BK44" s="82"/>
      <c r="BL44" s="82"/>
      <c r="BM44" s="82"/>
      <c r="BN44" s="82"/>
      <c r="BO44" s="82"/>
    </row>
    <row r="45" spans="1:67" ht="12.75" customHeight="1" x14ac:dyDescent="0.15">
      <c r="A45" s="125">
        <v>27</v>
      </c>
      <c r="B45" s="27">
        <f t="shared" si="12"/>
        <v>77715378.898044392</v>
      </c>
      <c r="C45" s="27">
        <f t="shared" si="13"/>
        <v>48572111.811277755</v>
      </c>
      <c r="D45" s="126">
        <f t="shared" si="0"/>
        <v>126287490.70932215</v>
      </c>
      <c r="E45" s="127">
        <f t="shared" si="14"/>
        <v>1.000000000000003E-2</v>
      </c>
      <c r="F45" s="128">
        <f t="shared" si="1"/>
        <v>40411997.02698309</v>
      </c>
      <c r="G45" s="128">
        <f t="shared" si="2"/>
        <v>25257498.141864434</v>
      </c>
      <c r="H45" s="128">
        <f t="shared" si="3"/>
        <v>18943123.606398322</v>
      </c>
      <c r="I45" s="128">
        <f t="shared" si="4"/>
        <v>2525749.8141864431</v>
      </c>
      <c r="J45" s="128">
        <f t="shared" si="5"/>
        <v>6314374.5354661085</v>
      </c>
      <c r="K45" s="128">
        <f t="shared" si="6"/>
        <v>2525749.8141864431</v>
      </c>
      <c r="L45" s="128">
        <f t="shared" si="7"/>
        <v>2525749.8141864431</v>
      </c>
      <c r="M45" s="129">
        <f t="shared" si="8"/>
        <v>98504242.753271267</v>
      </c>
      <c r="N45" s="130">
        <f t="shared" si="9"/>
        <v>27783247.956050888</v>
      </c>
      <c r="O45" s="131">
        <f t="shared" si="10"/>
        <v>2195836.666666667</v>
      </c>
      <c r="P45" s="132">
        <f t="shared" si="11"/>
        <v>25587411.28938422</v>
      </c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2"/>
      <c r="AX45" s="82"/>
      <c r="AY45" s="82"/>
      <c r="AZ45" s="82"/>
      <c r="BA45" s="82"/>
      <c r="BB45" s="82"/>
      <c r="BC45" s="82"/>
      <c r="BD45" s="82"/>
      <c r="BE45" s="82"/>
      <c r="BF45" s="82"/>
      <c r="BG45" s="82"/>
      <c r="BH45" s="82"/>
      <c r="BI45" s="82"/>
      <c r="BJ45" s="82"/>
      <c r="BK45" s="82"/>
      <c r="BL45" s="82"/>
      <c r="BM45" s="82"/>
      <c r="BN45" s="82"/>
      <c r="BO45" s="82"/>
    </row>
    <row r="46" spans="1:67" ht="12.75" customHeight="1" x14ac:dyDescent="0.15">
      <c r="A46" s="133">
        <v>28</v>
      </c>
      <c r="B46" s="33">
        <f t="shared" si="12"/>
        <v>78492532.687024832</v>
      </c>
      <c r="C46" s="33">
        <f t="shared" si="13"/>
        <v>49057832.929390535</v>
      </c>
      <c r="D46" s="126">
        <f t="shared" si="0"/>
        <v>127550365.61641537</v>
      </c>
      <c r="E46" s="134">
        <f t="shared" si="14"/>
        <v>9.9999999999999239E-3</v>
      </c>
      <c r="F46" s="135">
        <f t="shared" si="1"/>
        <v>40816116.997252919</v>
      </c>
      <c r="G46" s="135">
        <f t="shared" si="2"/>
        <v>25510073.123283073</v>
      </c>
      <c r="H46" s="135">
        <f t="shared" si="3"/>
        <v>19132554.842462305</v>
      </c>
      <c r="I46" s="135">
        <f t="shared" si="4"/>
        <v>2551007.3123283074</v>
      </c>
      <c r="J46" s="135">
        <f t="shared" si="5"/>
        <v>6377518.2808207683</v>
      </c>
      <c r="K46" s="135">
        <f t="shared" si="6"/>
        <v>2551007.3123283074</v>
      </c>
      <c r="L46" s="135">
        <f t="shared" si="7"/>
        <v>2551007.3123283074</v>
      </c>
      <c r="M46" s="129">
        <f t="shared" si="8"/>
        <v>99489285.180803999</v>
      </c>
      <c r="N46" s="130">
        <f t="shared" si="9"/>
        <v>28061080.435611367</v>
      </c>
      <c r="O46" s="131">
        <f t="shared" si="10"/>
        <v>2195836.666666667</v>
      </c>
      <c r="P46" s="132">
        <f t="shared" si="11"/>
        <v>25865243.768944699</v>
      </c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82"/>
      <c r="BN46" s="82"/>
      <c r="BO46" s="82"/>
    </row>
    <row r="47" spans="1:67" ht="12.75" customHeight="1" x14ac:dyDescent="0.15">
      <c r="A47" s="125">
        <v>29</v>
      </c>
      <c r="B47" s="27">
        <f t="shared" si="12"/>
        <v>79277458.013895079</v>
      </c>
      <c r="C47" s="27">
        <f t="shared" si="13"/>
        <v>49548411.258684441</v>
      </c>
      <c r="D47" s="126">
        <f t="shared" si="0"/>
        <v>128825869.27257952</v>
      </c>
      <c r="E47" s="127">
        <f t="shared" si="14"/>
        <v>1.0000000000000005E-2</v>
      </c>
      <c r="F47" s="128">
        <f t="shared" si="1"/>
        <v>41224278.16722545</v>
      </c>
      <c r="G47" s="128">
        <f t="shared" si="2"/>
        <v>25765173.854515906</v>
      </c>
      <c r="H47" s="128">
        <f t="shared" si="3"/>
        <v>19323880.390886929</v>
      </c>
      <c r="I47" s="128">
        <f t="shared" si="4"/>
        <v>2576517.3854515906</v>
      </c>
      <c r="J47" s="128">
        <f t="shared" si="5"/>
        <v>6441293.4636289766</v>
      </c>
      <c r="K47" s="128">
        <f t="shared" si="6"/>
        <v>2576517.3854515906</v>
      </c>
      <c r="L47" s="128">
        <f t="shared" si="7"/>
        <v>2576517.3854515906</v>
      </c>
      <c r="M47" s="129">
        <f t="shared" si="8"/>
        <v>100484178.03261203</v>
      </c>
      <c r="N47" s="130">
        <f t="shared" si="9"/>
        <v>28341691.239967495</v>
      </c>
      <c r="O47" s="131">
        <f t="shared" si="10"/>
        <v>2195836.666666667</v>
      </c>
      <c r="P47" s="132">
        <f t="shared" si="11"/>
        <v>26145854.573300827</v>
      </c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2"/>
      <c r="AO47" s="82"/>
      <c r="AP47" s="82"/>
      <c r="AQ47" s="82"/>
      <c r="AR47" s="82"/>
      <c r="AS47" s="82"/>
      <c r="AT47" s="82"/>
      <c r="AU47" s="82"/>
      <c r="AV47" s="82"/>
      <c r="AW47" s="82"/>
      <c r="AX47" s="82"/>
      <c r="AY47" s="82"/>
      <c r="AZ47" s="82"/>
      <c r="BA47" s="82"/>
      <c r="BB47" s="82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82"/>
      <c r="BN47" s="82"/>
      <c r="BO47" s="82"/>
    </row>
    <row r="48" spans="1:67" ht="12.75" customHeight="1" x14ac:dyDescent="0.15">
      <c r="A48" s="133">
        <v>30</v>
      </c>
      <c r="B48" s="33">
        <f t="shared" si="12"/>
        <v>80070232.594034031</v>
      </c>
      <c r="C48" s="33">
        <f t="shared" si="13"/>
        <v>50043895.37127129</v>
      </c>
      <c r="D48" s="126">
        <f t="shared" si="0"/>
        <v>130114127.96530533</v>
      </c>
      <c r="E48" s="134">
        <f t="shared" si="14"/>
        <v>1.0000000000000096E-2</v>
      </c>
      <c r="F48" s="135">
        <f t="shared" si="1"/>
        <v>41636520.948897704</v>
      </c>
      <c r="G48" s="135">
        <f t="shared" si="2"/>
        <v>26022825.593061067</v>
      </c>
      <c r="H48" s="135">
        <f t="shared" si="3"/>
        <v>19517119.194795799</v>
      </c>
      <c r="I48" s="135">
        <f t="shared" si="4"/>
        <v>2602282.5593061065</v>
      </c>
      <c r="J48" s="135">
        <f t="shared" si="5"/>
        <v>6505706.3982652668</v>
      </c>
      <c r="K48" s="135">
        <f t="shared" si="6"/>
        <v>2602282.5593061065</v>
      </c>
      <c r="L48" s="135">
        <f t="shared" si="7"/>
        <v>2602282.5593061065</v>
      </c>
      <c r="M48" s="129">
        <f t="shared" si="8"/>
        <v>101489019.81293815</v>
      </c>
      <c r="N48" s="130">
        <f t="shared" si="9"/>
        <v>28625108.152367175</v>
      </c>
      <c r="O48" s="131">
        <f t="shared" si="10"/>
        <v>2195836.666666667</v>
      </c>
      <c r="P48" s="132">
        <f t="shared" si="11"/>
        <v>26429271.485700507</v>
      </c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2"/>
      <c r="AX48" s="82"/>
      <c r="AY48" s="82"/>
      <c r="AZ48" s="82"/>
      <c r="BA48" s="82"/>
      <c r="BB48" s="82"/>
      <c r="BC48" s="82"/>
      <c r="BD48" s="82"/>
      <c r="BE48" s="82"/>
      <c r="BF48" s="82"/>
      <c r="BG48" s="82"/>
      <c r="BH48" s="82"/>
      <c r="BI48" s="82"/>
      <c r="BJ48" s="82"/>
      <c r="BK48" s="82"/>
      <c r="BL48" s="82"/>
      <c r="BM48" s="82"/>
      <c r="BN48" s="82"/>
      <c r="BO48" s="82"/>
    </row>
    <row r="49" spans="1:67" ht="12.75" customHeight="1" outlineLevel="1" x14ac:dyDescent="0.15">
      <c r="A49" s="125">
        <v>31</v>
      </c>
      <c r="B49" s="27">
        <f t="shared" si="12"/>
        <v>80870934.919974372</v>
      </c>
      <c r="C49" s="27">
        <f t="shared" si="13"/>
        <v>50544334.324984007</v>
      </c>
      <c r="D49" s="126">
        <f t="shared" si="0"/>
        <v>131415269.24495837</v>
      </c>
      <c r="E49" s="127">
        <f t="shared" si="14"/>
        <v>9.9999999999999169E-3</v>
      </c>
      <c r="F49" s="128">
        <f t="shared" si="1"/>
        <v>42052886.158386678</v>
      </c>
      <c r="G49" s="128">
        <f t="shared" si="2"/>
        <v>26283053.848991677</v>
      </c>
      <c r="H49" s="128">
        <f t="shared" si="3"/>
        <v>19712290.386743754</v>
      </c>
      <c r="I49" s="128">
        <f t="shared" si="4"/>
        <v>2628305.3848991673</v>
      </c>
      <c r="J49" s="128">
        <f t="shared" si="5"/>
        <v>6570763.4622479193</v>
      </c>
      <c r="K49" s="128">
        <f t="shared" si="6"/>
        <v>2628305.3848991673</v>
      </c>
      <c r="L49" s="128">
        <f t="shared" si="7"/>
        <v>2628305.3848991673</v>
      </c>
      <c r="M49" s="129">
        <f t="shared" si="8"/>
        <v>102503910.01106754</v>
      </c>
      <c r="N49" s="130">
        <f t="shared" si="9"/>
        <v>28911359.233890831</v>
      </c>
      <c r="O49" s="131">
        <f t="shared" si="10"/>
        <v>2195836.666666667</v>
      </c>
      <c r="P49" s="132">
        <f t="shared" si="11"/>
        <v>26715522.567224164</v>
      </c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  <c r="BG49" s="82"/>
      <c r="BH49" s="82"/>
      <c r="BI49" s="82"/>
      <c r="BJ49" s="82"/>
      <c r="BK49" s="82"/>
      <c r="BL49" s="82"/>
      <c r="BM49" s="82"/>
      <c r="BN49" s="82"/>
      <c r="BO49" s="82"/>
    </row>
    <row r="50" spans="1:67" ht="12.75" customHeight="1" outlineLevel="1" x14ac:dyDescent="0.15">
      <c r="A50" s="133">
        <v>32</v>
      </c>
      <c r="B50" s="33">
        <f t="shared" si="12"/>
        <v>81679644.269174114</v>
      </c>
      <c r="C50" s="33">
        <f t="shared" si="13"/>
        <v>51049777.668233849</v>
      </c>
      <c r="D50" s="126">
        <f t="shared" si="0"/>
        <v>132729421.93740797</v>
      </c>
      <c r="E50" s="134">
        <f t="shared" si="14"/>
        <v>1.000000000000012E-2</v>
      </c>
      <c r="F50" s="135">
        <f t="shared" si="1"/>
        <v>42473415.019970551</v>
      </c>
      <c r="G50" s="135">
        <f t="shared" si="2"/>
        <v>26545884.387481596</v>
      </c>
      <c r="H50" s="135">
        <f t="shared" si="3"/>
        <v>19909413.290611196</v>
      </c>
      <c r="I50" s="135">
        <f t="shared" si="4"/>
        <v>2654588.4387481594</v>
      </c>
      <c r="J50" s="135">
        <f t="shared" si="5"/>
        <v>6636471.0968703991</v>
      </c>
      <c r="K50" s="135">
        <f t="shared" si="6"/>
        <v>2654588.4387481594</v>
      </c>
      <c r="L50" s="135">
        <f t="shared" si="7"/>
        <v>2654588.4387481594</v>
      </c>
      <c r="M50" s="129">
        <f t="shared" si="8"/>
        <v>103528949.11117823</v>
      </c>
      <c r="N50" s="130">
        <f t="shared" si="9"/>
        <v>29200472.826229736</v>
      </c>
      <c r="O50" s="131">
        <f t="shared" si="10"/>
        <v>2195836.666666667</v>
      </c>
      <c r="P50" s="132">
        <f t="shared" si="11"/>
        <v>27004636.159563068</v>
      </c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  <c r="BB50" s="82"/>
      <c r="BC50" s="82"/>
      <c r="BD50" s="82"/>
      <c r="BE50" s="82"/>
      <c r="BF50" s="82"/>
      <c r="BG50" s="82"/>
      <c r="BH50" s="82"/>
      <c r="BI50" s="82"/>
      <c r="BJ50" s="82"/>
      <c r="BK50" s="82"/>
      <c r="BL50" s="82"/>
      <c r="BM50" s="82"/>
      <c r="BN50" s="82"/>
      <c r="BO50" s="82"/>
    </row>
    <row r="51" spans="1:67" ht="12.75" customHeight="1" outlineLevel="1" x14ac:dyDescent="0.15">
      <c r="A51" s="125">
        <v>33</v>
      </c>
      <c r="B51" s="27">
        <f t="shared" si="12"/>
        <v>82496440.711865857</v>
      </c>
      <c r="C51" s="27">
        <f t="shared" si="13"/>
        <v>51560275.444916189</v>
      </c>
      <c r="D51" s="126">
        <f t="shared" si="0"/>
        <v>134056716.15678205</v>
      </c>
      <c r="E51" s="127">
        <f t="shared" si="14"/>
        <v>9.999999999999969E-3</v>
      </c>
      <c r="F51" s="128">
        <f t="shared" si="1"/>
        <v>42898149.170170255</v>
      </c>
      <c r="G51" s="128">
        <f t="shared" si="2"/>
        <v>26811343.231356412</v>
      </c>
      <c r="H51" s="128">
        <f t="shared" si="3"/>
        <v>20108507.423517305</v>
      </c>
      <c r="I51" s="128">
        <f t="shared" si="4"/>
        <v>2681134.3231356409</v>
      </c>
      <c r="J51" s="128">
        <f t="shared" si="5"/>
        <v>6702835.807839103</v>
      </c>
      <c r="K51" s="128">
        <f t="shared" si="6"/>
        <v>2681134.3231356409</v>
      </c>
      <c r="L51" s="128">
        <f t="shared" si="7"/>
        <v>2681134.3231356409</v>
      </c>
      <c r="M51" s="129">
        <f t="shared" si="8"/>
        <v>104564238.60229</v>
      </c>
      <c r="N51" s="130">
        <f t="shared" si="9"/>
        <v>29492477.554492041</v>
      </c>
      <c r="O51" s="131">
        <f t="shared" si="10"/>
        <v>2195836.666666667</v>
      </c>
      <c r="P51" s="132">
        <f t="shared" si="11"/>
        <v>27296640.887825374</v>
      </c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  <c r="BB51" s="82"/>
      <c r="BC51" s="82"/>
      <c r="BD51" s="82"/>
      <c r="BE51" s="82"/>
      <c r="BF51" s="82"/>
      <c r="BG51" s="82"/>
      <c r="BH51" s="82"/>
      <c r="BI51" s="82"/>
      <c r="BJ51" s="82"/>
      <c r="BK51" s="82"/>
      <c r="BL51" s="82"/>
      <c r="BM51" s="82"/>
      <c r="BN51" s="82"/>
      <c r="BO51" s="82"/>
    </row>
    <row r="52" spans="1:67" ht="12.75" customHeight="1" outlineLevel="1" x14ac:dyDescent="0.15">
      <c r="A52" s="133">
        <v>34</v>
      </c>
      <c r="B52" s="33">
        <f t="shared" si="12"/>
        <v>83321405.11898452</v>
      </c>
      <c r="C52" s="33">
        <f t="shared" si="13"/>
        <v>52075878.199365348</v>
      </c>
      <c r="D52" s="126">
        <f t="shared" si="0"/>
        <v>135397283.31834987</v>
      </c>
      <c r="E52" s="134">
        <f t="shared" si="14"/>
        <v>1.0000000000000012E-2</v>
      </c>
      <c r="F52" s="135">
        <f t="shared" si="1"/>
        <v>43327130.661871962</v>
      </c>
      <c r="G52" s="135">
        <f t="shared" si="2"/>
        <v>27079456.663669974</v>
      </c>
      <c r="H52" s="135">
        <f t="shared" si="3"/>
        <v>20309592.49775248</v>
      </c>
      <c r="I52" s="135">
        <f t="shared" si="4"/>
        <v>2707945.6663669976</v>
      </c>
      <c r="J52" s="135">
        <f t="shared" si="5"/>
        <v>6769864.1659174934</v>
      </c>
      <c r="K52" s="135">
        <f t="shared" si="6"/>
        <v>2707945.6663669976</v>
      </c>
      <c r="L52" s="135">
        <f t="shared" si="7"/>
        <v>2707945.6663669976</v>
      </c>
      <c r="M52" s="129">
        <f t="shared" si="8"/>
        <v>105609880.9883129</v>
      </c>
      <c r="N52" s="130">
        <f t="shared" si="9"/>
        <v>29787402.330036968</v>
      </c>
      <c r="O52" s="131">
        <f t="shared" si="10"/>
        <v>2195836.666666667</v>
      </c>
      <c r="P52" s="132">
        <f t="shared" si="11"/>
        <v>27591565.6633703</v>
      </c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</row>
    <row r="53" spans="1:67" ht="12.75" customHeight="1" outlineLevel="1" x14ac:dyDescent="0.15">
      <c r="A53" s="125">
        <v>35</v>
      </c>
      <c r="B53" s="27">
        <f t="shared" si="12"/>
        <v>84154619.17017436</v>
      </c>
      <c r="C53" s="27">
        <f t="shared" si="13"/>
        <v>52596636.981359005</v>
      </c>
      <c r="D53" s="126">
        <f t="shared" si="0"/>
        <v>136751256.15153337</v>
      </c>
      <c r="E53" s="127">
        <f t="shared" si="14"/>
        <v>9.9999999999999898E-3</v>
      </c>
      <c r="F53" s="128">
        <f t="shared" si="1"/>
        <v>43760401.968490675</v>
      </c>
      <c r="G53" s="128">
        <f t="shared" si="2"/>
        <v>27350251.230306674</v>
      </c>
      <c r="H53" s="128">
        <f t="shared" si="3"/>
        <v>20512688.422730003</v>
      </c>
      <c r="I53" s="128">
        <f t="shared" si="4"/>
        <v>2735025.1230306672</v>
      </c>
      <c r="J53" s="128">
        <f t="shared" si="5"/>
        <v>6837562.8075766684</v>
      </c>
      <c r="K53" s="128">
        <f t="shared" si="6"/>
        <v>2735025.1230306672</v>
      </c>
      <c r="L53" s="128">
        <f t="shared" si="7"/>
        <v>2735025.1230306672</v>
      </c>
      <c r="M53" s="129">
        <f t="shared" si="8"/>
        <v>106665979.798196</v>
      </c>
      <c r="N53" s="130">
        <f t="shared" si="9"/>
        <v>30085276.353337362</v>
      </c>
      <c r="O53" s="131">
        <f t="shared" si="10"/>
        <v>2195836.666666667</v>
      </c>
      <c r="P53" s="132">
        <f t="shared" si="11"/>
        <v>27889439.686670695</v>
      </c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</row>
    <row r="54" spans="1:67" ht="12.75" customHeight="1" outlineLevel="1" x14ac:dyDescent="0.15">
      <c r="A54" s="133">
        <v>36</v>
      </c>
      <c r="B54" s="33">
        <f t="shared" si="12"/>
        <v>84996165.3618761</v>
      </c>
      <c r="C54" s="33">
        <f t="shared" si="13"/>
        <v>53122603.351172596</v>
      </c>
      <c r="D54" s="126">
        <f t="shared" si="0"/>
        <v>138118768.7130487</v>
      </c>
      <c r="E54" s="134">
        <f t="shared" si="14"/>
        <v>9.9999999999999829E-3</v>
      </c>
      <c r="F54" s="135">
        <f t="shared" si="1"/>
        <v>44198005.988175586</v>
      </c>
      <c r="G54" s="135">
        <f t="shared" si="2"/>
        <v>27623753.742609739</v>
      </c>
      <c r="H54" s="135">
        <f t="shared" si="3"/>
        <v>20717815.306957304</v>
      </c>
      <c r="I54" s="135">
        <f t="shared" si="4"/>
        <v>2762375.3742609741</v>
      </c>
      <c r="J54" s="135">
        <f t="shared" si="5"/>
        <v>6905938.4356524348</v>
      </c>
      <c r="K54" s="135">
        <f t="shared" si="6"/>
        <v>2762375.3742609741</v>
      </c>
      <c r="L54" s="135">
        <f t="shared" si="7"/>
        <v>2762375.3742609741</v>
      </c>
      <c r="M54" s="129">
        <f t="shared" si="8"/>
        <v>107732639.596178</v>
      </c>
      <c r="N54" s="130">
        <f t="shared" si="9"/>
        <v>30386129.116870701</v>
      </c>
      <c r="O54" s="131">
        <f t="shared" si="10"/>
        <v>2195836.666666667</v>
      </c>
      <c r="P54" s="132">
        <f t="shared" si="11"/>
        <v>28190292.450204033</v>
      </c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</row>
    <row r="55" spans="1:67" ht="12.75" customHeight="1" outlineLevel="1" thickBot="1" x14ac:dyDescent="0.2">
      <c r="A55" s="136" t="s">
        <v>115</v>
      </c>
      <c r="B55" s="137">
        <f>SUM(B19:B54)</f>
        <v>2584612701.5494838</v>
      </c>
      <c r="C55" s="137">
        <f>SUM(C19:C54)</f>
        <v>1615382938.4684279</v>
      </c>
      <c r="D55" s="137">
        <f>SUM(D19:D54)</f>
        <v>4199995640.0179119</v>
      </c>
      <c r="E55" s="138">
        <f>(D54-D19)/D19</f>
        <v>0.41660275603126867</v>
      </c>
      <c r="F55" s="139">
        <f t="shared" ref="F55:P55" si="15">SUM(F19:F54)</f>
        <v>1343998604.8057318</v>
      </c>
      <c r="G55" s="139">
        <f t="shared" si="15"/>
        <v>839999128.00358212</v>
      </c>
      <c r="H55" s="139">
        <f t="shared" si="15"/>
        <v>629999346.0026865</v>
      </c>
      <c r="I55" s="139">
        <f t="shared" si="15"/>
        <v>83999912.800358236</v>
      </c>
      <c r="J55" s="139">
        <f t="shared" si="15"/>
        <v>209999782.00089553</v>
      </c>
      <c r="K55" s="140">
        <f t="shared" si="15"/>
        <v>83999912.800358236</v>
      </c>
      <c r="L55" s="140">
        <f t="shared" si="15"/>
        <v>83999912.800358236</v>
      </c>
      <c r="M55" s="140">
        <f t="shared" si="15"/>
        <v>3275996599.2139707</v>
      </c>
      <c r="N55" s="141">
        <f t="shared" si="15"/>
        <v>923999040.80394053</v>
      </c>
      <c r="O55" s="142">
        <f t="shared" si="15"/>
        <v>79050120</v>
      </c>
      <c r="P55" s="143">
        <f t="shared" si="15"/>
        <v>844948920.80394065</v>
      </c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2"/>
      <c r="AO55" s="82"/>
      <c r="AP55" s="82"/>
      <c r="AQ55" s="82"/>
      <c r="AR55" s="82"/>
      <c r="AS55" s="82"/>
      <c r="AT55" s="82"/>
      <c r="AU55" s="82"/>
      <c r="AV55" s="82"/>
      <c r="AW55" s="82"/>
      <c r="AX55" s="82"/>
      <c r="AY55" s="82"/>
      <c r="AZ55" s="82"/>
      <c r="BA55" s="82"/>
      <c r="BB55" s="82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82"/>
      <c r="BN55" s="82"/>
      <c r="BO55" s="82"/>
    </row>
    <row r="56" spans="1:67" ht="8" customHeight="1" outlineLevel="1" x14ac:dyDescent="0.1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144"/>
      <c r="L56" s="144"/>
      <c r="M56" s="144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  <c r="BB56" s="82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82"/>
      <c r="BN56" s="82"/>
      <c r="BO56" s="82"/>
    </row>
    <row r="57" spans="1:67" ht="25" customHeight="1" outlineLevel="1" x14ac:dyDescent="0.15">
      <c r="A57" s="113" t="s">
        <v>116</v>
      </c>
      <c r="B57" s="81"/>
      <c r="C57" s="81"/>
      <c r="D57" s="81"/>
      <c r="E57" s="81"/>
      <c r="F57" s="81"/>
      <c r="G57" s="81"/>
      <c r="H57" s="81"/>
      <c r="I57" s="145"/>
      <c r="J57" s="145"/>
      <c r="K57" s="146"/>
      <c r="L57" s="146"/>
      <c r="M57" s="144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82"/>
      <c r="BN57" s="82"/>
      <c r="BO57" s="82"/>
    </row>
    <row r="58" spans="1:67" ht="12.75" customHeight="1" outlineLevel="1" x14ac:dyDescent="0.2">
      <c r="A58" s="147" t="s">
        <v>99</v>
      </c>
      <c r="B58" s="148" t="s">
        <v>117</v>
      </c>
      <c r="C58" s="148" t="s">
        <v>118</v>
      </c>
      <c r="D58" s="149" t="s">
        <v>119</v>
      </c>
      <c r="E58" s="46"/>
      <c r="F58" s="147" t="s">
        <v>120</v>
      </c>
      <c r="G58" s="148" t="s">
        <v>121</v>
      </c>
      <c r="H58" s="149" t="s">
        <v>122</v>
      </c>
      <c r="I58" s="82"/>
      <c r="J58" s="150" t="s">
        <v>123</v>
      </c>
      <c r="K58" s="87"/>
      <c r="L58" s="151"/>
      <c r="M58" s="144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</row>
    <row r="59" spans="1:67" ht="12.75" customHeight="1" outlineLevel="1" x14ac:dyDescent="0.2">
      <c r="A59" s="152">
        <v>0</v>
      </c>
      <c r="B59" s="153" t="s">
        <v>124</v>
      </c>
      <c r="C59" s="154">
        <f>-D6</f>
        <v>-150000000</v>
      </c>
      <c r="D59" s="155" t="s">
        <v>125</v>
      </c>
      <c r="E59" s="46"/>
      <c r="F59" s="156" t="s">
        <v>126</v>
      </c>
      <c r="G59" s="157">
        <f>SUM(P19:P30)</f>
        <v>245689649.63307506</v>
      </c>
      <c r="H59" s="158">
        <f>-D6+G59</f>
        <v>95689649.633075058</v>
      </c>
      <c r="I59" s="82"/>
      <c r="J59" s="159" t="s">
        <v>127</v>
      </c>
      <c r="K59" s="94"/>
      <c r="L59" s="160">
        <f>D6</f>
        <v>150000000</v>
      </c>
      <c r="M59" s="144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  <c r="BB59" s="82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82"/>
      <c r="BN59" s="82"/>
      <c r="BO59" s="82"/>
    </row>
    <row r="60" spans="1:67" ht="12.75" customHeight="1" outlineLevel="1" x14ac:dyDescent="0.2">
      <c r="A60" s="125">
        <v>1</v>
      </c>
      <c r="B60" s="161">
        <f t="shared" ref="B60:B95" si="16">P19</f>
        <v>19254163.333333332</v>
      </c>
      <c r="C60" s="161">
        <f t="shared" ref="C60:C95" si="17">C59+B60</f>
        <v>-130745836.66666667</v>
      </c>
      <c r="D60" s="162" t="str">
        <f>IF(C60&gt;=0,"✅ HÒA VỐN",IF(C60&gt;=C59/2,"⚠️ PHỤC HỒI","❌ CHƯA"))</f>
        <v>❌ CHƯA</v>
      </c>
      <c r="E60" s="46"/>
      <c r="F60" s="133" t="s">
        <v>128</v>
      </c>
      <c r="G60" s="163">
        <f>SUM(P31:P42)</f>
        <v>280191091.46788162</v>
      </c>
      <c r="H60" s="164">
        <f>H59+G60</f>
        <v>375880741.10095668</v>
      </c>
      <c r="I60" s="82"/>
      <c r="J60" s="100" t="s">
        <v>129</v>
      </c>
      <c r="K60" s="94"/>
      <c r="L60" s="165">
        <f>SUM(D19:D30)</f>
        <v>1236544043.786705</v>
      </c>
      <c r="M60" s="144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82"/>
      <c r="BN60" s="82"/>
      <c r="BO60" s="82"/>
    </row>
    <row r="61" spans="1:67" ht="12.75" customHeight="1" outlineLevel="1" x14ac:dyDescent="0.2">
      <c r="A61" s="133">
        <v>2</v>
      </c>
      <c r="B61" s="166">
        <f t="shared" si="16"/>
        <v>19468663.333333332</v>
      </c>
      <c r="C61" s="166">
        <f t="shared" si="17"/>
        <v>-111277173.33333334</v>
      </c>
      <c r="D61" s="167" t="str">
        <f t="shared" ref="D61:D95" si="18">IF(C61&gt;=0,"✅ HÒA VỐN",IF(C61&gt;=C59/2,"⚠️ PHỤC HỒI","❌ CHƯA"))</f>
        <v>❌ CHƯA</v>
      </c>
      <c r="E61" s="46"/>
      <c r="F61" s="168" t="s">
        <v>130</v>
      </c>
      <c r="G61" s="169">
        <f>SUM(P43:P54)</f>
        <v>319068179.7029838</v>
      </c>
      <c r="H61" s="170">
        <f>H60+G61</f>
        <v>694948920.80394053</v>
      </c>
      <c r="I61" s="82"/>
      <c r="J61" s="93" t="s">
        <v>131</v>
      </c>
      <c r="K61" s="94"/>
      <c r="L61" s="171">
        <f>SUM(M19:M30)</f>
        <v>964504354.15362978</v>
      </c>
      <c r="M61" s="17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82"/>
      <c r="BN61" s="82"/>
      <c r="BO61" s="82"/>
    </row>
    <row r="62" spans="1:67" ht="12.75" customHeight="1" x14ac:dyDescent="0.2">
      <c r="A62" s="125">
        <v>3</v>
      </c>
      <c r="B62" s="161">
        <f t="shared" si="16"/>
        <v>19685308.333333332</v>
      </c>
      <c r="C62" s="161">
        <f t="shared" si="17"/>
        <v>-91591865.000000015</v>
      </c>
      <c r="D62" s="162" t="str">
        <f t="shared" si="18"/>
        <v>❌ CHƯA</v>
      </c>
      <c r="J62" s="173" t="s">
        <v>132</v>
      </c>
      <c r="K62" s="94"/>
      <c r="L62" s="174">
        <f>SUM(P19:P30)</f>
        <v>245689649.63307506</v>
      </c>
      <c r="M62" s="175">
        <v>100000000000</v>
      </c>
      <c r="N62" s="176">
        <f>(M62*L65)-(M62*N65)</f>
        <v>148793099755.38336</v>
      </c>
      <c r="O62" s="177">
        <v>0.2</v>
      </c>
      <c r="P62" s="178">
        <f>N62*O62</f>
        <v>29758619951.076675</v>
      </c>
    </row>
    <row r="63" spans="1:67" ht="12.75" customHeight="1" x14ac:dyDescent="0.2">
      <c r="A63" s="133">
        <v>4</v>
      </c>
      <c r="B63" s="166">
        <f t="shared" si="16"/>
        <v>19904119.78333332</v>
      </c>
      <c r="C63" s="166">
        <f t="shared" si="17"/>
        <v>-71687745.216666698</v>
      </c>
      <c r="D63" s="167" t="str">
        <f t="shared" si="18"/>
        <v>❌ CHƯA</v>
      </c>
      <c r="F63" s="179" t="s">
        <v>133</v>
      </c>
      <c r="G63" s="87"/>
      <c r="H63" s="151"/>
      <c r="J63" s="159" t="s">
        <v>134</v>
      </c>
      <c r="K63" s="94"/>
      <c r="L63" s="180">
        <f>L62/L60</f>
        <v>0.19869057707050405</v>
      </c>
      <c r="M63" s="181"/>
    </row>
    <row r="64" spans="1:67" ht="12.75" customHeight="1" x14ac:dyDescent="0.2">
      <c r="A64" s="125">
        <v>5</v>
      </c>
      <c r="B64" s="161">
        <f t="shared" si="16"/>
        <v>20125119.347833339</v>
      </c>
      <c r="C64" s="161">
        <f t="shared" si="17"/>
        <v>-51562625.868833363</v>
      </c>
      <c r="D64" s="162" t="str">
        <f t="shared" si="18"/>
        <v>❌ CHƯA</v>
      </c>
      <c r="F64" s="182" t="s">
        <v>127</v>
      </c>
      <c r="G64" s="94"/>
      <c r="H64" s="183">
        <f>D6</f>
        <v>150000000</v>
      </c>
      <c r="J64" s="100" t="s">
        <v>135</v>
      </c>
      <c r="K64" s="94"/>
      <c r="L64" s="184">
        <f>(L60-SUM(F19:F30))/L60</f>
        <v>0.68</v>
      </c>
      <c r="M64" s="185"/>
    </row>
    <row r="65" spans="1:14" ht="12.75" customHeight="1" x14ac:dyDescent="0.2">
      <c r="A65" s="133">
        <v>6</v>
      </c>
      <c r="B65" s="166">
        <f t="shared" si="16"/>
        <v>20348328.90797836</v>
      </c>
      <c r="C65" s="166">
        <f t="shared" si="17"/>
        <v>-31214296.960855003</v>
      </c>
      <c r="D65" s="167" t="str">
        <f t="shared" si="18"/>
        <v>⚠️ PHỤC HỒI</v>
      </c>
      <c r="F65" s="186" t="s">
        <v>136</v>
      </c>
      <c r="G65" s="94"/>
      <c r="H65" s="187">
        <f>D55</f>
        <v>4199995640.0179119</v>
      </c>
      <c r="J65" s="159" t="s">
        <v>137</v>
      </c>
      <c r="K65" s="94"/>
      <c r="L65" s="180">
        <f>L62/D6</f>
        <v>1.6379309975538336</v>
      </c>
      <c r="N65" s="177">
        <v>0.15</v>
      </c>
    </row>
    <row r="66" spans="1:14" ht="12.75" customHeight="1" x14ac:dyDescent="0.2">
      <c r="A66" s="125">
        <v>7</v>
      </c>
      <c r="B66" s="161">
        <f t="shared" si="16"/>
        <v>20573770.56372479</v>
      </c>
      <c r="C66" s="161">
        <f t="shared" si="17"/>
        <v>-10640526.397130214</v>
      </c>
      <c r="D66" s="162" t="str">
        <f t="shared" si="18"/>
        <v>⚠️ PHỤC HỒI</v>
      </c>
      <c r="F66" s="182" t="s">
        <v>138</v>
      </c>
      <c r="G66" s="94"/>
      <c r="H66" s="188">
        <f>P55</f>
        <v>844948920.80394065</v>
      </c>
      <c r="J66" s="189" t="s">
        <v>139</v>
      </c>
      <c r="K66" s="94"/>
      <c r="L66" s="190">
        <f t="array" ref="L66">IFERROR(MATCH(TRUE,INDEX(C60:C71&gt;=0,0),0),"Chưa hòa vốn")</f>
        <v>8</v>
      </c>
    </row>
    <row r="67" spans="1:14" ht="12.75" customHeight="1" x14ac:dyDescent="0.2">
      <c r="A67" s="133">
        <v>8</v>
      </c>
      <c r="B67" s="166">
        <f t="shared" si="16"/>
        <v>20801466.636028681</v>
      </c>
      <c r="C67" s="166">
        <f t="shared" si="17"/>
        <v>10160940.238898467</v>
      </c>
      <c r="D67" s="167" t="str">
        <f t="shared" si="18"/>
        <v>✅ HÒA VỐN</v>
      </c>
      <c r="F67" s="191" t="s">
        <v>140</v>
      </c>
      <c r="G67" s="94"/>
      <c r="H67" s="192">
        <f>P55/D6</f>
        <v>5.6329928053596046</v>
      </c>
      <c r="J67" s="193" t="s">
        <v>141</v>
      </c>
      <c r="K67" s="94"/>
      <c r="L67" s="194"/>
    </row>
    <row r="68" spans="1:14" ht="12.75" customHeight="1" x14ac:dyDescent="0.2">
      <c r="A68" s="125">
        <v>9</v>
      </c>
      <c r="B68" s="161">
        <f t="shared" si="16"/>
        <v>21031439.669055644</v>
      </c>
      <c r="C68" s="161">
        <f t="shared" si="17"/>
        <v>31192379.907954112</v>
      </c>
      <c r="D68" s="162" t="str">
        <f t="shared" si="18"/>
        <v>✅ HÒA VỐN</v>
      </c>
      <c r="F68" s="195" t="s">
        <v>142</v>
      </c>
      <c r="G68" s="94"/>
      <c r="H68" s="196">
        <f>P55/D55</f>
        <v>0.20117852331873781</v>
      </c>
      <c r="J68" s="197" t="s">
        <v>143</v>
      </c>
      <c r="K68" s="94"/>
      <c r="L68" s="194"/>
    </row>
    <row r="69" spans="1:14" ht="12.75" customHeight="1" x14ac:dyDescent="0.2">
      <c r="A69" s="133">
        <v>10</v>
      </c>
      <c r="B69" s="166">
        <f t="shared" si="16"/>
        <v>21263712.432412852</v>
      </c>
      <c r="C69" s="166">
        <f t="shared" si="17"/>
        <v>52456092.34036696</v>
      </c>
      <c r="D69" s="167" t="str">
        <f t="shared" si="18"/>
        <v>✅ HÒA VỐN</v>
      </c>
      <c r="F69" s="186" t="s">
        <v>144</v>
      </c>
      <c r="G69" s="94"/>
      <c r="H69" s="198">
        <f>P55/36</f>
        <v>23470803.355665017</v>
      </c>
      <c r="J69" s="199" t="s">
        <v>145</v>
      </c>
      <c r="K69" s="200" t="str">
        <f>IF(P19&lt;0,
    IF(O19/D19&gt;10%,
        "❌ LỖ - ĐẦU TƯ CAO / CHƯA KHAI THÁC HẾT",
        IF(AND(F19/D19&lt;=32%,G19/D19&lt;=20%,H19/D19&lt;=20%,I19/D19&lt;=2%,J19/D19&lt;=5%,K19/D19&lt;=2%,L19/D19&lt;=2%),
            "❌ LỖ - DO DOANH THU YẾU (CHI PHÍ ĐÃ TỐI ƯU)",
            "⚠️❌ LỖ - DO VẬN HÀNH CHI PHÍ CAO"
        )
    ),
    IF(P19&gt;0,
        IF(P19/$D$6&lt;1%,
            "⚠️ LÃI NHƯNG VỐN BỊ CHÔN - ROI THẤP",
            IF(O19/D19&gt;10%,
                "⚠️ LÃI NHƯNG GÁNH KHẤU HAO CAO",
                IF(AND(F19/D19&lt;=32%,G19/D19&lt;=20%,H19/D19&lt;=20%,I19/D19&lt;=2%,J19/D19&lt;=5%,K19/D19&lt;=2%,L19/D19&lt;=2%),
                    IF($L$63&gt;=2%,
                        "✅ MÔ HÌNH TỐT - CÓ THỂ NHÂN CHUỖI",
                        "⚠️ LÃI THẤP - CẦN TỐI ƯU"
                    ),
                    "⚠️ LÃI NHƯNG CHI PHÍ VẬN HÀNH CAO"
                )
            )
        ),
        "⚠️ LỢI NHUẬN = 0"
    )
)</f>
        <v>✅ MÔ HÌNH TỐT - CÓ THỂ NHÂN CHUỖI</v>
      </c>
      <c r="L69" s="94"/>
    </row>
    <row r="70" spans="1:14" ht="12.75" customHeight="1" x14ac:dyDescent="0.2">
      <c r="A70" s="125">
        <v>11</v>
      </c>
      <c r="B70" s="161">
        <f t="shared" si="16"/>
        <v>21498307.923403699</v>
      </c>
      <c r="C70" s="161">
        <f t="shared" si="17"/>
        <v>73954400.263770655</v>
      </c>
      <c r="D70" s="162" t="str">
        <f t="shared" si="18"/>
        <v>✅ HÒA VỐN</v>
      </c>
      <c r="F70" s="201" t="s">
        <v>146</v>
      </c>
      <c r="G70" s="94"/>
      <c r="H70" s="194"/>
      <c r="J70" s="199" t="s">
        <v>147</v>
      </c>
      <c r="K70" s="200" t="str">
        <f>IF(P20&lt;0,
    IF(O20/D20&gt;10%,
        "❌ LỖ - ĐẦU TƯ CAO / CHƯA KHAI THÁC HẾT",
        IF(AND(F20/D20&lt;=32%,G20/D20&lt;=20%,H20/D20&lt;=20%,I20/D20&lt;=2%,J20/D20&lt;=5%,K20/D20&lt;=2%,L20/D20&lt;=2%),
            "❌ LỖ - DO DOANH THU YẾU (CHI PHÍ ĐÃ TỐI ƯU)",
            "⚠️❌ LỖ - DO VẬN HÀNH CHI PHÍ CAO"
        )
    ),
    IF(P20&gt;0,
        IF(P20/$D$6&lt;1%,
            "⚠️ LÃI NHƯNG VỐN BỊ CHÔN - ROI THẤP",
            IF(O20/D20&gt;10%,
                "⚠️ LÃI NHƯNG GÁNH KHẤU HAO CAO",
                IF(AND(F20/D20&lt;=32%,G20/D20&lt;=20%,H20/D20&lt;=20%,I20/D20&lt;=2%,J20/D20&lt;=5%,K20/D20&lt;=2%,L20/D20&lt;=2%),
                    IF($L$63&gt;=2%,
                        "✅ MÔ HÌNH TỐT - CÓ THỂ NHÂN CHUỖI",
                        "⚠️ LÃI THẤP - CẦN TỐI ƯU"
                    ),
                    "⚠️ LÃI NHƯNG CHI PHÍ VẬN HÀNH CAO"
                )
            )
        ),
        "⚠️ LỢI NHUẬN = 0"
    )
)</f>
        <v>✅ MÔ HÌNH TỐT - CÓ THỂ NHÂN CHUỖI</v>
      </c>
      <c r="L70" s="94"/>
    </row>
    <row r="71" spans="1:14" ht="12" customHeight="1" thickBot="1" x14ac:dyDescent="0.25">
      <c r="A71" s="133">
        <v>12</v>
      </c>
      <c r="B71" s="166">
        <f t="shared" si="16"/>
        <v>21735249.369304363</v>
      </c>
      <c r="C71" s="166">
        <f t="shared" si="17"/>
        <v>95689649.633075014</v>
      </c>
      <c r="D71" s="167" t="str">
        <f t="shared" si="18"/>
        <v>✅ HÒA VỐN</v>
      </c>
      <c r="F71" s="202" t="s">
        <v>148</v>
      </c>
      <c r="G71" s="78"/>
      <c r="H71" s="203">
        <f t="array" ref="H71">IFERROR(MATCH(TRUE,INDEX(C60:C95&gt;=0,0),0),"Chưa hòa vốn")</f>
        <v>8</v>
      </c>
      <c r="J71" s="199" t="s">
        <v>149</v>
      </c>
      <c r="K71" s="200" t="str">
        <f t="shared" ref="K71:K78" si="19">IF(P21&lt;0,
IF(O21/D21&gt;10%,
"❌ LỖ - ĐẦU TƯ CAO / CHƯA KHAI THÁC HẾT",
IF(AND(F21/D21&lt;=32%,G21/D21&lt;=20%,H21/D21&lt;=20%,I21/D21&lt;=2%,J21/D21&lt;=5%,K21/D21&lt;=2%,L21/D21&lt;=2%),
"❌ LỖ - DO DOANH THU YẾU (CHI PHÍ ĐÃ TỐI ƯU)",
"⚠️❌ LỖ - DO VẬN HÀNH CHI PHÍ CAO"
)
),
IF(P21&gt;0,
IF(P21/$D$6&lt;1%,
"⚠️ LÃI NHƯNG VỐN BỊ CHÔN - ROI THẤP",
IF(O21/D21&gt;10%,
"⚠️ LÃI NHƯNG GÁNH KHẤU HAO CAO",
IF(AND(F21/D21&lt;=32%,G21/D21&lt;=20%,H21/D21&lt;=20%,I21/D21&lt;=2%,J21/D21&lt;=5%,K21/D21&lt;=2%,L21/D21&lt;=2%),
IF($L$63&gt;=2%,
"✅ MÔ HÌNH TỐT - CÓ THỂ NHÂN CHUỖI",
"⚠️ LÃI THẤP - CẦN TỐI ƯU"
),
"⚠️ LÃI NHƯNG CHI PHÍ VẬN HÀNH CAO"
)
)
),
"⚠️ LỢI NHUẬN = 0"
)
)</f>
        <v>✅ MÔ HÌNH TỐT - CÓ THỂ NHÂN CHUỖI</v>
      </c>
      <c r="L71" s="94"/>
    </row>
    <row r="72" spans="1:14" ht="12.75" customHeight="1" x14ac:dyDescent="0.2">
      <c r="A72" s="125">
        <v>13</v>
      </c>
      <c r="B72" s="161">
        <f t="shared" si="16"/>
        <v>21974560.229664106</v>
      </c>
      <c r="C72" s="161">
        <f t="shared" si="17"/>
        <v>117664209.86273912</v>
      </c>
      <c r="D72" s="162" t="str">
        <f t="shared" si="18"/>
        <v>✅ HÒA VỐN</v>
      </c>
      <c r="J72" s="199" t="s">
        <v>150</v>
      </c>
      <c r="K72" s="200" t="str">
        <f t="shared" si="19"/>
        <v>✅ MÔ HÌNH TỐT - CÓ THỂ NHÂN CHUỖI</v>
      </c>
      <c r="L72" s="94"/>
    </row>
    <row r="73" spans="1:14" ht="12.75" customHeight="1" x14ac:dyDescent="0.2">
      <c r="A73" s="133">
        <v>14</v>
      </c>
      <c r="B73" s="166">
        <f t="shared" si="16"/>
        <v>22216264.198627416</v>
      </c>
      <c r="C73" s="166">
        <f t="shared" si="17"/>
        <v>139880474.06136653</v>
      </c>
      <c r="D73" s="167" t="str">
        <f t="shared" si="18"/>
        <v>✅ HÒA VỐN</v>
      </c>
      <c r="J73" s="199" t="s">
        <v>151</v>
      </c>
      <c r="K73" s="200" t="str">
        <f t="shared" si="19"/>
        <v>✅ MÔ HÌNH TỐT - CÓ THỂ NHÂN CHUỖI</v>
      </c>
      <c r="L73" s="94"/>
    </row>
    <row r="74" spans="1:14" ht="12.75" customHeight="1" x14ac:dyDescent="0.2">
      <c r="A74" s="125">
        <v>15</v>
      </c>
      <c r="B74" s="161">
        <f t="shared" si="16"/>
        <v>22460385.207280327</v>
      </c>
      <c r="C74" s="161">
        <f t="shared" si="17"/>
        <v>162340859.26864687</v>
      </c>
      <c r="D74" s="162" t="str">
        <f t="shared" si="18"/>
        <v>✅ HÒA VỐN</v>
      </c>
      <c r="J74" s="199" t="s">
        <v>152</v>
      </c>
      <c r="K74" s="200" t="str">
        <f t="shared" si="19"/>
        <v>✅ MÔ HÌNH TỐT - CÓ THỂ NHÂN CHUỖI</v>
      </c>
      <c r="L74" s="94"/>
    </row>
    <row r="75" spans="1:14" ht="12.75" customHeight="1" x14ac:dyDescent="0.2">
      <c r="A75" s="133">
        <v>16</v>
      </c>
      <c r="B75" s="166">
        <f t="shared" si="16"/>
        <v>22706947.426019821</v>
      </c>
      <c r="C75" s="166">
        <f t="shared" si="17"/>
        <v>185047806.69466668</v>
      </c>
      <c r="D75" s="167" t="str">
        <f t="shared" si="18"/>
        <v>✅ HÒA VỐN</v>
      </c>
      <c r="J75" s="199" t="s">
        <v>153</v>
      </c>
      <c r="K75" s="200" t="str">
        <f t="shared" si="19"/>
        <v>✅ MÔ HÌNH TỐT - CÓ THỂ NHÂN CHUỖI</v>
      </c>
      <c r="L75" s="94"/>
    </row>
    <row r="76" spans="1:14" ht="12.75" customHeight="1" x14ac:dyDescent="0.2">
      <c r="A76" s="125">
        <v>17</v>
      </c>
      <c r="B76" s="161">
        <f t="shared" si="16"/>
        <v>22955975.266946677</v>
      </c>
      <c r="C76" s="161">
        <f t="shared" si="17"/>
        <v>208003781.96161336</v>
      </c>
      <c r="D76" s="162" t="str">
        <f t="shared" si="18"/>
        <v>✅ HÒA VỐN</v>
      </c>
      <c r="J76" s="199" t="s">
        <v>154</v>
      </c>
      <c r="K76" s="200" t="str">
        <f t="shared" si="19"/>
        <v>✅ MÔ HÌNH TỐT - CÓ THỂ NHÂN CHUỖI</v>
      </c>
      <c r="L76" s="94"/>
    </row>
    <row r="77" spans="1:14" ht="12.75" customHeight="1" x14ac:dyDescent="0.2">
      <c r="A77" s="133">
        <v>18</v>
      </c>
      <c r="B77" s="166">
        <f t="shared" si="16"/>
        <v>23207493.386282805</v>
      </c>
      <c r="C77" s="166">
        <f t="shared" si="17"/>
        <v>231211275.34789616</v>
      </c>
      <c r="D77" s="167" t="str">
        <f t="shared" si="18"/>
        <v>✅ HÒA VỐN</v>
      </c>
      <c r="J77" s="199" t="s">
        <v>155</v>
      </c>
      <c r="K77" s="200" t="str">
        <f t="shared" si="19"/>
        <v>✅ MÔ HÌNH TỐT - CÓ THỂ NHÂN CHUỖI</v>
      </c>
      <c r="L77" s="94"/>
    </row>
    <row r="78" spans="1:14" ht="12.75" customHeight="1" thickBot="1" x14ac:dyDescent="0.25">
      <c r="A78" s="204">
        <v>19</v>
      </c>
      <c r="B78" s="205">
        <f t="shared" si="16"/>
        <v>23461526.686812315</v>
      </c>
      <c r="C78" s="205">
        <f t="shared" si="17"/>
        <v>254672802.03470847</v>
      </c>
      <c r="D78" s="206" t="str">
        <f t="shared" si="18"/>
        <v>✅ HÒA VỐN</v>
      </c>
      <c r="J78" s="199" t="s">
        <v>156</v>
      </c>
      <c r="K78" s="200" t="str">
        <f t="shared" si="19"/>
        <v>✅ MÔ HÌNH TỐT - CÓ THỂ NHÂN CHUỖI</v>
      </c>
      <c r="L78" s="94"/>
    </row>
    <row r="79" spans="1:14" ht="12.75" customHeight="1" thickBot="1" x14ac:dyDescent="0.25">
      <c r="A79" s="207">
        <v>20</v>
      </c>
      <c r="B79" s="208">
        <f t="shared" si="16"/>
        <v>23718100.320347074</v>
      </c>
      <c r="C79" s="209">
        <f t="shared" si="17"/>
        <v>278390902.35505557</v>
      </c>
      <c r="D79" s="210" t="str">
        <f t="shared" si="18"/>
        <v>✅ HÒA VỐN</v>
      </c>
      <c r="J79" s="199" t="s">
        <v>157</v>
      </c>
      <c r="K79" s="200" t="str">
        <f>IF(P29&lt;0,
    IF(O29/D29&gt;10%,
        "❌ LỖ - ĐẦU TƯ CAO / CHƯA KHAI THÁC HẾT",
        IF(AND(F29/D29&lt;=32%,G29/D29&lt;=20%,H29/D29&lt;=20%,I29/D29&lt;=2%,J29/D29&lt;=5%,K29/D29&lt;=2%,L29/D29&lt;=2%),
            "❌ LỖ - DO DOANH THU YẾU (CHI PHÍ ĐÃ TỐI ƯU)",
            "⚠️❌ LỖ - DO VẬN HÀNH CHI PHÍ CAO"
        )
    ),
    IF(P29&gt;0,
        IF(P29/$D$6&lt;1%,
            "⚠️ LÃI NHƯNG VỐN BỊ CHÔN - ROI THẤP",
            IF(O29/D29&gt;10%,
                "⚠️ LÃI NHƯNG GÁNH KHẤU HAO CAO",
                IF(AND(F29/D29&lt;=32%,G29/D29&lt;=20%,H29/D29&lt;=20%,I29/D29&lt;=2%,J29/D29&lt;=5%,K29/D29&lt;=2%,L29/D29&lt;=2%),
                    IF($L$63&gt;=2%,
                        "✅ MÔ HÌNH TỐT - CÓ THỂ NHÂN CHUỖI",
                        "⚠️ LÃI THẤP - CẦN TỐI ƯU"
                    ),
                    "⚠️ LÃI NHƯNG CHI PHÍ VẬN HÀNH CAO"
                )
            )
        ),
        "⚠️ LỢI NHUẬN = 0"
    )
)</f>
        <v>✅ MÔ HÌNH TỐT - CÓ THỂ NHÂN CHUỖI</v>
      </c>
      <c r="L79" s="94"/>
    </row>
    <row r="80" spans="1:14" ht="12.75" customHeight="1" x14ac:dyDescent="0.2">
      <c r="A80" s="211">
        <v>21</v>
      </c>
      <c r="B80" s="212">
        <f t="shared" si="16"/>
        <v>23977239.69021723</v>
      </c>
      <c r="C80" s="212">
        <f t="shared" si="17"/>
        <v>302368142.04527283</v>
      </c>
      <c r="D80" s="213" t="str">
        <f t="shared" si="18"/>
        <v>✅ HÒA VỐN</v>
      </c>
      <c r="J80" s="199" t="s">
        <v>158</v>
      </c>
      <c r="K80" s="200" t="str">
        <f>IF(P30&lt;0,
    IF(O30/D30&gt;10%,
        "❌ LỖ - ĐẦU TƯ CAO / CHƯA KHAI THÁC HẾT",
        IF(AND(F30/D30&lt;=32%,G30/D30&lt;=20%,H30/D30&lt;=20%,I30/D30&lt;=2%,J30/D30&lt;=5%,K30/D30&lt;=2%,L30/D30&lt;=2%),
            "❌ LỖ - DO DOANH THU YẾU (CHI PHÍ ĐÃ TỐI ƯU)",
            "⚠️❌ LỖ - DO VẬN HÀNH CHI PHÍ CAO"
        )
    ),
    IF(P30&gt;0,
        IF(P30/$D$6&lt;1%,
            "⚠️ LÃI NHƯNG VỐN BỊ CHÔN - ROI THẤP",
            IF(O30/D30&gt;10%,
                "⚠️ LÃI NHƯNG GÁNH KHẤU HAO CAO",
                IF(AND(F30/D30&lt;=32%,G30/D30&lt;=20%,H30/D30&lt;=20%,I30/D30&lt;=2%,J30/D30&lt;=5%,K30/D30&lt;=2%,L30/D30&lt;=2%),
                    IF($L$63&gt;=2%,
                        "✅ MÔ HÌNH TỐT - CÓ THỂ NHÂN CHUỖI",
                        "⚠️ LÃI THẤP - CẦN TỐI ƯU"
                    ),
                    "⚠️ LÃI NHƯNG CHI PHÍ VẬN HÀNH CAO"
                )
            )
        ),
        "⚠️ LỢI NHUẬN = 0"
    )
)</f>
        <v>✅ MÔ HÌNH TỐT - CÓ THỂ NHÂN CHUỖI</v>
      </c>
      <c r="L80" s="94"/>
    </row>
    <row r="81" spans="1:12" ht="12.75" customHeight="1" x14ac:dyDescent="0.2">
      <c r="A81" s="133">
        <v>22</v>
      </c>
      <c r="B81" s="166">
        <f t="shared" si="16"/>
        <v>24238970.453786064</v>
      </c>
      <c r="C81" s="166">
        <f t="shared" si="17"/>
        <v>326607112.4990589</v>
      </c>
      <c r="D81" s="167" t="str">
        <f t="shared" si="18"/>
        <v>✅ HÒA VỐN</v>
      </c>
      <c r="J81" s="214" t="str">
        <f>IF(T55&lt;0,"Mục tiêu: Giảm vốn đầu tư xuống "&amp;TEXT(H55*0.03,"#,##0")&amp;"đ để hòa vốn","")</f>
        <v/>
      </c>
      <c r="K81" s="108"/>
      <c r="L81" s="215"/>
    </row>
    <row r="82" spans="1:12" ht="12.75" customHeight="1" x14ac:dyDescent="0.2">
      <c r="A82" s="125">
        <v>23</v>
      </c>
      <c r="B82" s="161">
        <f t="shared" si="16"/>
        <v>24503318.524990592</v>
      </c>
      <c r="C82" s="161">
        <f t="shared" si="17"/>
        <v>351110431.02404952</v>
      </c>
      <c r="D82" s="162" t="str">
        <f t="shared" si="18"/>
        <v>✅ HÒA VỐN</v>
      </c>
    </row>
    <row r="83" spans="1:12" ht="12.75" customHeight="1" x14ac:dyDescent="0.2">
      <c r="A83" s="133">
        <v>24</v>
      </c>
      <c r="B83" s="166">
        <f t="shared" si="16"/>
        <v>24770310.076907162</v>
      </c>
      <c r="C83" s="166">
        <f t="shared" si="17"/>
        <v>375880741.10095668</v>
      </c>
      <c r="D83" s="167" t="str">
        <f t="shared" si="18"/>
        <v>✅ HÒA VỐN</v>
      </c>
    </row>
    <row r="84" spans="1:12" ht="12.75" customHeight="1" x14ac:dyDescent="0.2">
      <c r="A84" s="125">
        <v>25</v>
      </c>
      <c r="B84" s="161">
        <f t="shared" si="16"/>
        <v>25039971.544342939</v>
      </c>
      <c r="C84" s="161">
        <f t="shared" si="17"/>
        <v>400920712.64529961</v>
      </c>
      <c r="D84" s="162" t="str">
        <f t="shared" si="18"/>
        <v>✅ HÒA VỐN</v>
      </c>
    </row>
    <row r="85" spans="1:12" ht="12.75" customHeight="1" x14ac:dyDescent="0.2">
      <c r="A85" s="133">
        <v>26</v>
      </c>
      <c r="B85" s="166">
        <f t="shared" si="16"/>
        <v>25312329.626452986</v>
      </c>
      <c r="C85" s="166">
        <f t="shared" si="17"/>
        <v>426233042.2717526</v>
      </c>
      <c r="D85" s="167" t="str">
        <f t="shared" si="18"/>
        <v>✅ HÒA VỐN</v>
      </c>
    </row>
    <row r="86" spans="1:12" ht="12.75" customHeight="1" x14ac:dyDescent="0.2">
      <c r="A86" s="125">
        <v>27</v>
      </c>
      <c r="B86" s="161">
        <f t="shared" si="16"/>
        <v>25587411.28938422</v>
      </c>
      <c r="C86" s="161">
        <f t="shared" si="17"/>
        <v>451820453.56113684</v>
      </c>
      <c r="D86" s="162" t="str">
        <f t="shared" si="18"/>
        <v>✅ HÒA VỐN</v>
      </c>
    </row>
    <row r="87" spans="1:12" ht="12.75" customHeight="1" x14ac:dyDescent="0.2">
      <c r="A87" s="133">
        <v>28</v>
      </c>
      <c r="B87" s="166">
        <f t="shared" si="16"/>
        <v>25865243.768944699</v>
      </c>
      <c r="C87" s="166">
        <f t="shared" si="17"/>
        <v>477685697.33008152</v>
      </c>
      <c r="D87" s="167" t="str">
        <f t="shared" si="18"/>
        <v>✅ HÒA VỐN</v>
      </c>
    </row>
    <row r="88" spans="1:12" ht="12.75" customHeight="1" x14ac:dyDescent="0.2">
      <c r="A88" s="125">
        <v>29</v>
      </c>
      <c r="B88" s="161">
        <f t="shared" si="16"/>
        <v>26145854.573300827</v>
      </c>
      <c r="C88" s="161">
        <f t="shared" si="17"/>
        <v>503831551.90338236</v>
      </c>
      <c r="D88" s="162" t="str">
        <f t="shared" si="18"/>
        <v>✅ HÒA VỐN</v>
      </c>
    </row>
    <row r="89" spans="1:12" ht="12.75" customHeight="1" x14ac:dyDescent="0.2">
      <c r="A89" s="133">
        <v>30</v>
      </c>
      <c r="B89" s="166">
        <f t="shared" si="16"/>
        <v>26429271.485700507</v>
      </c>
      <c r="C89" s="166">
        <f t="shared" si="17"/>
        <v>530260823.38908285</v>
      </c>
      <c r="D89" s="167" t="str">
        <f t="shared" si="18"/>
        <v>✅ HÒA VỐN</v>
      </c>
    </row>
    <row r="90" spans="1:12" ht="12.75" customHeight="1" x14ac:dyDescent="0.2">
      <c r="A90" s="125">
        <v>31</v>
      </c>
      <c r="B90" s="161">
        <f t="shared" si="16"/>
        <v>26715522.567224164</v>
      </c>
      <c r="C90" s="161">
        <f t="shared" si="17"/>
        <v>556976345.95630705</v>
      </c>
      <c r="D90" s="162" t="str">
        <f t="shared" si="18"/>
        <v>✅ HÒA VỐN</v>
      </c>
    </row>
    <row r="91" spans="1:12" ht="12.75" customHeight="1" x14ac:dyDescent="0.2">
      <c r="A91" s="133">
        <v>32</v>
      </c>
      <c r="B91" s="166">
        <f t="shared" si="16"/>
        <v>27004636.159563068</v>
      </c>
      <c r="C91" s="166">
        <f t="shared" si="17"/>
        <v>583980982.11587012</v>
      </c>
      <c r="D91" s="167" t="str">
        <f t="shared" si="18"/>
        <v>✅ HÒA VỐN</v>
      </c>
      <c r="F91" s="216" t="s">
        <v>99</v>
      </c>
      <c r="G91" s="217" t="s">
        <v>159</v>
      </c>
      <c r="H91" s="217" t="s">
        <v>160</v>
      </c>
      <c r="I91" s="217" t="s">
        <v>161</v>
      </c>
    </row>
    <row r="92" spans="1:12" ht="12.75" customHeight="1" x14ac:dyDescent="0.2">
      <c r="A92" s="125">
        <v>33</v>
      </c>
      <c r="B92" s="161">
        <f t="shared" si="16"/>
        <v>27296640.887825374</v>
      </c>
      <c r="C92" s="161">
        <f t="shared" si="17"/>
        <v>611277623.00369549</v>
      </c>
      <c r="D92" s="162" t="str">
        <f t="shared" si="18"/>
        <v>✅ HÒA VỐN</v>
      </c>
      <c r="F92" s="218" t="s">
        <v>162</v>
      </c>
      <c r="G92" s="219">
        <f t="shared" ref="G92:G127" si="20">D19</f>
        <v>97500000</v>
      </c>
      <c r="H92" s="220">
        <f t="shared" ref="H92:H127" si="21">M19+O19</f>
        <v>78245836.666666672</v>
      </c>
      <c r="I92" s="221">
        <f t="shared" ref="I92:I127" si="22">P19</f>
        <v>19254163.333333332</v>
      </c>
    </row>
    <row r="93" spans="1:12" ht="12.75" customHeight="1" x14ac:dyDescent="0.2">
      <c r="A93" s="133">
        <v>34</v>
      </c>
      <c r="B93" s="166">
        <f t="shared" si="16"/>
        <v>27591565.6633703</v>
      </c>
      <c r="C93" s="166">
        <f t="shared" si="17"/>
        <v>638869188.66706574</v>
      </c>
      <c r="D93" s="167" t="str">
        <f t="shared" si="18"/>
        <v>✅ HÒA VỐN</v>
      </c>
      <c r="F93" s="218" t="s">
        <v>163</v>
      </c>
      <c r="G93" s="222">
        <f t="shared" si="20"/>
        <v>98475000</v>
      </c>
      <c r="H93" s="223">
        <f t="shared" si="21"/>
        <v>79006336.666666672</v>
      </c>
      <c r="I93" s="224">
        <f t="shared" si="22"/>
        <v>19468663.333333332</v>
      </c>
    </row>
    <row r="94" spans="1:12" ht="12.75" customHeight="1" x14ac:dyDescent="0.2">
      <c r="A94" s="125">
        <v>35</v>
      </c>
      <c r="B94" s="161">
        <f t="shared" si="16"/>
        <v>27889439.686670695</v>
      </c>
      <c r="C94" s="161">
        <f t="shared" si="17"/>
        <v>666758628.3537364</v>
      </c>
      <c r="D94" s="162" t="str">
        <f t="shared" si="18"/>
        <v>✅ HÒA VỐN</v>
      </c>
      <c r="F94" s="218" t="s">
        <v>164</v>
      </c>
      <c r="G94" s="222">
        <f t="shared" si="20"/>
        <v>99459750</v>
      </c>
      <c r="H94" s="223">
        <f t="shared" si="21"/>
        <v>79774441.666666672</v>
      </c>
      <c r="I94" s="224">
        <f t="shared" si="22"/>
        <v>19685308.333333332</v>
      </c>
    </row>
    <row r="95" spans="1:12" ht="12.75" customHeight="1" thickBot="1" x14ac:dyDescent="0.25">
      <c r="A95" s="225">
        <v>36</v>
      </c>
      <c r="B95" s="226">
        <f t="shared" si="16"/>
        <v>28190292.450204033</v>
      </c>
      <c r="C95" s="226">
        <f t="shared" si="17"/>
        <v>694948920.80394042</v>
      </c>
      <c r="D95" s="227" t="str">
        <f t="shared" si="18"/>
        <v>✅ HÒA VỐN</v>
      </c>
      <c r="F95" s="218" t="s">
        <v>165</v>
      </c>
      <c r="G95" s="222">
        <f t="shared" si="20"/>
        <v>100454347.5</v>
      </c>
      <c r="H95" s="223">
        <f t="shared" si="21"/>
        <v>80550227.716666684</v>
      </c>
      <c r="I95" s="224">
        <f t="shared" si="22"/>
        <v>19904119.78333332</v>
      </c>
    </row>
    <row r="96" spans="1:12" ht="12.75" customHeight="1" x14ac:dyDescent="0.2">
      <c r="F96" s="218" t="s">
        <v>166</v>
      </c>
      <c r="G96" s="222">
        <f t="shared" si="20"/>
        <v>101458890.97499999</v>
      </c>
      <c r="H96" s="223">
        <f t="shared" si="21"/>
        <v>81333771.627166659</v>
      </c>
      <c r="I96" s="224">
        <f t="shared" si="22"/>
        <v>20125119.347833339</v>
      </c>
    </row>
    <row r="97" spans="6:9" ht="12.75" customHeight="1" outlineLevel="1" x14ac:dyDescent="0.2">
      <c r="F97" s="218" t="s">
        <v>167</v>
      </c>
      <c r="G97" s="222">
        <f t="shared" si="20"/>
        <v>102473479.88475001</v>
      </c>
      <c r="H97" s="223">
        <f t="shared" si="21"/>
        <v>82125150.976771653</v>
      </c>
      <c r="I97" s="224">
        <f t="shared" si="22"/>
        <v>20348328.90797836</v>
      </c>
    </row>
    <row r="98" spans="6:9" ht="12.75" customHeight="1" outlineLevel="1" x14ac:dyDescent="0.2">
      <c r="F98" s="218" t="s">
        <v>168</v>
      </c>
      <c r="G98" s="222">
        <f t="shared" si="20"/>
        <v>103498214.68359751</v>
      </c>
      <c r="H98" s="223">
        <f t="shared" si="21"/>
        <v>82924444.119872719</v>
      </c>
      <c r="I98" s="224">
        <f t="shared" si="22"/>
        <v>20573770.56372479</v>
      </c>
    </row>
    <row r="99" spans="6:9" ht="12.75" customHeight="1" outlineLevel="1" x14ac:dyDescent="0.2">
      <c r="F99" s="218" t="s">
        <v>169</v>
      </c>
      <c r="G99" s="222">
        <f t="shared" si="20"/>
        <v>104533196.83043349</v>
      </c>
      <c r="H99" s="223">
        <f t="shared" si="21"/>
        <v>83731730.194404811</v>
      </c>
      <c r="I99" s="224">
        <f t="shared" si="22"/>
        <v>20801466.636028681</v>
      </c>
    </row>
    <row r="100" spans="6:9" ht="12.75" customHeight="1" outlineLevel="1" x14ac:dyDescent="0.2">
      <c r="F100" s="218" t="s">
        <v>170</v>
      </c>
      <c r="G100" s="222">
        <f t="shared" si="20"/>
        <v>105578528.79873782</v>
      </c>
      <c r="H100" s="223">
        <f t="shared" si="21"/>
        <v>84547089.129682183</v>
      </c>
      <c r="I100" s="224">
        <f t="shared" si="22"/>
        <v>21031439.669055644</v>
      </c>
    </row>
    <row r="101" spans="6:9" ht="12.75" customHeight="1" outlineLevel="1" x14ac:dyDescent="0.2">
      <c r="F101" s="218" t="s">
        <v>171</v>
      </c>
      <c r="G101" s="222">
        <f t="shared" si="20"/>
        <v>106634314.08672521</v>
      </c>
      <c r="H101" s="223">
        <f t="shared" si="21"/>
        <v>85370601.654312357</v>
      </c>
      <c r="I101" s="224">
        <f t="shared" si="22"/>
        <v>21263712.432412852</v>
      </c>
    </row>
    <row r="102" spans="6:9" ht="12.75" customHeight="1" outlineLevel="1" x14ac:dyDescent="0.2">
      <c r="F102" s="218" t="s">
        <v>172</v>
      </c>
      <c r="G102" s="222">
        <f t="shared" si="20"/>
        <v>107700657.22759247</v>
      </c>
      <c r="H102" s="223">
        <f t="shared" si="21"/>
        <v>86202349.304188773</v>
      </c>
      <c r="I102" s="224">
        <f t="shared" si="22"/>
        <v>21498307.923403699</v>
      </c>
    </row>
    <row r="103" spans="6:9" ht="12.75" customHeight="1" outlineLevel="1" x14ac:dyDescent="0.2">
      <c r="F103" s="218" t="s">
        <v>173</v>
      </c>
      <c r="G103" s="222">
        <f t="shared" si="20"/>
        <v>108777663.79986839</v>
      </c>
      <c r="H103" s="223">
        <f t="shared" si="21"/>
        <v>87042414.430564031</v>
      </c>
      <c r="I103" s="224">
        <f t="shared" si="22"/>
        <v>21735249.369304363</v>
      </c>
    </row>
    <row r="104" spans="6:9" ht="12.75" customHeight="1" outlineLevel="1" x14ac:dyDescent="0.2">
      <c r="F104" s="218" t="s">
        <v>174</v>
      </c>
      <c r="G104" s="222">
        <f t="shared" si="20"/>
        <v>109865440.43786708</v>
      </c>
      <c r="H104" s="223">
        <f t="shared" si="21"/>
        <v>87890880.208202973</v>
      </c>
      <c r="I104" s="224">
        <f t="shared" si="22"/>
        <v>21974560.229664106</v>
      </c>
    </row>
    <row r="105" spans="6:9" ht="12.75" customHeight="1" outlineLevel="1" x14ac:dyDescent="0.2">
      <c r="F105" s="218" t="s">
        <v>175</v>
      </c>
      <c r="G105" s="222">
        <f t="shared" si="20"/>
        <v>110964094.84224576</v>
      </c>
      <c r="H105" s="223">
        <f t="shared" si="21"/>
        <v>88747830.643618345</v>
      </c>
      <c r="I105" s="224">
        <f t="shared" si="22"/>
        <v>22216264.198627416</v>
      </c>
    </row>
    <row r="106" spans="6:9" ht="12.75" customHeight="1" outlineLevel="1" x14ac:dyDescent="0.2">
      <c r="F106" s="218" t="s">
        <v>176</v>
      </c>
      <c r="G106" s="222">
        <f t="shared" si="20"/>
        <v>112073735.79066822</v>
      </c>
      <c r="H106" s="223">
        <f t="shared" si="21"/>
        <v>89613350.583387896</v>
      </c>
      <c r="I106" s="224">
        <f t="shared" si="22"/>
        <v>22460385.207280327</v>
      </c>
    </row>
    <row r="107" spans="6:9" ht="12.75" customHeight="1" outlineLevel="1" x14ac:dyDescent="0.2">
      <c r="F107" s="218" t="s">
        <v>177</v>
      </c>
      <c r="G107" s="222">
        <f t="shared" si="20"/>
        <v>113194473.14857489</v>
      </c>
      <c r="H107" s="223">
        <f t="shared" si="21"/>
        <v>90487525.722555071</v>
      </c>
      <c r="I107" s="224">
        <f t="shared" si="22"/>
        <v>22706947.426019821</v>
      </c>
    </row>
    <row r="108" spans="6:9" ht="12.75" customHeight="1" outlineLevel="1" x14ac:dyDescent="0.2">
      <c r="F108" s="218" t="s">
        <v>178</v>
      </c>
      <c r="G108" s="222">
        <f t="shared" si="20"/>
        <v>114326417.88006064</v>
      </c>
      <c r="H108" s="223">
        <f t="shared" si="21"/>
        <v>91370442.61311397</v>
      </c>
      <c r="I108" s="224">
        <f t="shared" si="22"/>
        <v>22955975.266946677</v>
      </c>
    </row>
    <row r="109" spans="6:9" ht="12.75" customHeight="1" outlineLevel="1" x14ac:dyDescent="0.2">
      <c r="F109" s="218" t="s">
        <v>179</v>
      </c>
      <c r="G109" s="222">
        <f t="shared" si="20"/>
        <v>115469682.05886124</v>
      </c>
      <c r="H109" s="223">
        <f t="shared" si="21"/>
        <v>92262188.672578439</v>
      </c>
      <c r="I109" s="224">
        <f t="shared" si="22"/>
        <v>23207493.386282805</v>
      </c>
    </row>
    <row r="110" spans="6:9" ht="12.75" customHeight="1" outlineLevel="1" x14ac:dyDescent="0.2">
      <c r="F110" s="218" t="s">
        <v>180</v>
      </c>
      <c r="G110" s="222">
        <f t="shared" si="20"/>
        <v>116624378.87944984</v>
      </c>
      <c r="H110" s="223">
        <f t="shared" si="21"/>
        <v>93162852.192637533</v>
      </c>
      <c r="I110" s="224">
        <f t="shared" si="22"/>
        <v>23461526.686812315</v>
      </c>
    </row>
    <row r="111" spans="6:9" ht="12.75" customHeight="1" outlineLevel="1" x14ac:dyDescent="0.2">
      <c r="F111" s="218" t="s">
        <v>181</v>
      </c>
      <c r="G111" s="222">
        <f t="shared" si="20"/>
        <v>117790622.66824436</v>
      </c>
      <c r="H111" s="223">
        <f t="shared" si="21"/>
        <v>94072522.347897291</v>
      </c>
      <c r="I111" s="224">
        <f t="shared" si="22"/>
        <v>23718100.320347074</v>
      </c>
    </row>
    <row r="112" spans="6:9" ht="12.75" customHeight="1" outlineLevel="1" x14ac:dyDescent="0.2">
      <c r="F112" s="218" t="s">
        <v>182</v>
      </c>
      <c r="G112" s="222">
        <f t="shared" si="20"/>
        <v>118968528.8949268</v>
      </c>
      <c r="H112" s="223">
        <f t="shared" si="21"/>
        <v>94991289.204709575</v>
      </c>
      <c r="I112" s="224">
        <f t="shared" si="22"/>
        <v>23977239.69021723</v>
      </c>
    </row>
    <row r="113" spans="6:9" ht="12.75" customHeight="1" outlineLevel="1" x14ac:dyDescent="0.2">
      <c r="F113" s="218" t="s">
        <v>183</v>
      </c>
      <c r="G113" s="222">
        <f t="shared" si="20"/>
        <v>120158214.18387607</v>
      </c>
      <c r="H113" s="223">
        <f t="shared" si="21"/>
        <v>95919243.730090007</v>
      </c>
      <c r="I113" s="224">
        <f t="shared" si="22"/>
        <v>24238970.453786064</v>
      </c>
    </row>
    <row r="114" spans="6:9" ht="12.75" customHeight="1" outlineLevel="1" x14ac:dyDescent="0.2">
      <c r="F114" s="218" t="s">
        <v>184</v>
      </c>
      <c r="G114" s="222">
        <f t="shared" si="20"/>
        <v>121359796.32571484</v>
      </c>
      <c r="H114" s="223">
        <f t="shared" si="21"/>
        <v>96856477.800724253</v>
      </c>
      <c r="I114" s="224">
        <f t="shared" si="22"/>
        <v>24503318.524990592</v>
      </c>
    </row>
    <row r="115" spans="6:9" ht="12.75" customHeight="1" outlineLevel="1" x14ac:dyDescent="0.2">
      <c r="F115" s="218" t="s">
        <v>185</v>
      </c>
      <c r="G115" s="222">
        <f t="shared" si="20"/>
        <v>122573394.28897199</v>
      </c>
      <c r="H115" s="223">
        <f t="shared" si="21"/>
        <v>97803084.212064832</v>
      </c>
      <c r="I115" s="224">
        <f t="shared" si="22"/>
        <v>24770310.076907162</v>
      </c>
    </row>
    <row r="116" spans="6:9" ht="12.75" customHeight="1" outlineLevel="1" x14ac:dyDescent="0.2">
      <c r="F116" s="218" t="s">
        <v>186</v>
      </c>
      <c r="G116" s="222">
        <f t="shared" si="20"/>
        <v>123799128.23186173</v>
      </c>
      <c r="H116" s="223">
        <f t="shared" si="21"/>
        <v>98759156.68751879</v>
      </c>
      <c r="I116" s="224">
        <f t="shared" si="22"/>
        <v>25039971.544342939</v>
      </c>
    </row>
    <row r="117" spans="6:9" ht="12.75" customHeight="1" outlineLevel="1" x14ac:dyDescent="0.2">
      <c r="F117" s="218" t="s">
        <v>187</v>
      </c>
      <c r="G117" s="222">
        <f t="shared" si="20"/>
        <v>125037119.51418035</v>
      </c>
      <c r="H117" s="223">
        <f t="shared" si="21"/>
        <v>99724789.887727365</v>
      </c>
      <c r="I117" s="224">
        <f t="shared" si="22"/>
        <v>25312329.626452986</v>
      </c>
    </row>
    <row r="118" spans="6:9" ht="12.75" customHeight="1" outlineLevel="1" x14ac:dyDescent="0.2">
      <c r="F118" s="218" t="s">
        <v>188</v>
      </c>
      <c r="G118" s="222">
        <f t="shared" si="20"/>
        <v>126287490.70932215</v>
      </c>
      <c r="H118" s="223">
        <f t="shared" si="21"/>
        <v>100700079.41993794</v>
      </c>
      <c r="I118" s="224">
        <f t="shared" si="22"/>
        <v>25587411.28938422</v>
      </c>
    </row>
    <row r="119" spans="6:9" ht="12.75" customHeight="1" outlineLevel="1" x14ac:dyDescent="0.2">
      <c r="F119" s="218" t="s">
        <v>189</v>
      </c>
      <c r="G119" s="222">
        <f t="shared" si="20"/>
        <v>127550365.61641537</v>
      </c>
      <c r="H119" s="223">
        <f t="shared" si="21"/>
        <v>101685121.84747067</v>
      </c>
      <c r="I119" s="224">
        <f t="shared" si="22"/>
        <v>25865243.768944699</v>
      </c>
    </row>
    <row r="120" spans="6:9" ht="12.75" customHeight="1" outlineLevel="1" x14ac:dyDescent="0.2">
      <c r="F120" s="218" t="s">
        <v>190</v>
      </c>
      <c r="G120" s="222">
        <f t="shared" si="20"/>
        <v>128825869.27257952</v>
      </c>
      <c r="H120" s="223">
        <f t="shared" si="21"/>
        <v>102680014.6992787</v>
      </c>
      <c r="I120" s="224">
        <f t="shared" si="22"/>
        <v>26145854.573300827</v>
      </c>
    </row>
    <row r="121" spans="6:9" ht="12.75" customHeight="1" outlineLevel="1" x14ac:dyDescent="0.2">
      <c r="F121" s="218" t="s">
        <v>191</v>
      </c>
      <c r="G121" s="222">
        <f t="shared" si="20"/>
        <v>130114127.96530533</v>
      </c>
      <c r="H121" s="223">
        <f t="shared" si="21"/>
        <v>103684856.47960483</v>
      </c>
      <c r="I121" s="224">
        <f t="shared" si="22"/>
        <v>26429271.485700507</v>
      </c>
    </row>
    <row r="122" spans="6:9" ht="12.75" customHeight="1" outlineLevel="1" x14ac:dyDescent="0.2">
      <c r="F122" s="218" t="s">
        <v>192</v>
      </c>
      <c r="G122" s="222">
        <f t="shared" si="20"/>
        <v>131415269.24495837</v>
      </c>
      <c r="H122" s="223">
        <f t="shared" si="21"/>
        <v>104699746.67773421</v>
      </c>
      <c r="I122" s="224">
        <f t="shared" si="22"/>
        <v>26715522.567224164</v>
      </c>
    </row>
    <row r="123" spans="6:9" ht="12.75" customHeight="1" outlineLevel="1" x14ac:dyDescent="0.2">
      <c r="F123" s="218" t="s">
        <v>193</v>
      </c>
      <c r="G123" s="222">
        <f t="shared" si="20"/>
        <v>132729421.93740797</v>
      </c>
      <c r="H123" s="223">
        <f t="shared" si="21"/>
        <v>105724785.77784491</v>
      </c>
      <c r="I123" s="224">
        <f t="shared" si="22"/>
        <v>27004636.159563068</v>
      </c>
    </row>
    <row r="124" spans="6:9" ht="12.75" customHeight="1" outlineLevel="1" x14ac:dyDescent="0.2">
      <c r="F124" s="218" t="s">
        <v>194</v>
      </c>
      <c r="G124" s="222">
        <f t="shared" si="20"/>
        <v>134056716.15678205</v>
      </c>
      <c r="H124" s="223">
        <f t="shared" si="21"/>
        <v>106760075.26895668</v>
      </c>
      <c r="I124" s="224">
        <f t="shared" si="22"/>
        <v>27296640.887825374</v>
      </c>
    </row>
    <row r="125" spans="6:9" ht="12.75" customHeight="1" outlineLevel="1" x14ac:dyDescent="0.2">
      <c r="F125" s="218" t="s">
        <v>195</v>
      </c>
      <c r="G125" s="222">
        <f t="shared" si="20"/>
        <v>135397283.31834987</v>
      </c>
      <c r="H125" s="223">
        <f t="shared" si="21"/>
        <v>107805717.65497957</v>
      </c>
      <c r="I125" s="224">
        <f t="shared" si="22"/>
        <v>27591565.6633703</v>
      </c>
    </row>
    <row r="126" spans="6:9" ht="12.75" customHeight="1" outlineLevel="1" x14ac:dyDescent="0.2">
      <c r="F126" s="218" t="s">
        <v>196</v>
      </c>
      <c r="G126" s="222">
        <f t="shared" si="20"/>
        <v>136751256.15153337</v>
      </c>
      <c r="H126" s="223">
        <f t="shared" si="21"/>
        <v>108861816.46486267</v>
      </c>
      <c r="I126" s="224">
        <f t="shared" si="22"/>
        <v>27889439.686670695</v>
      </c>
    </row>
    <row r="127" spans="6:9" ht="12.75" customHeight="1" outlineLevel="1" x14ac:dyDescent="0.2">
      <c r="F127" s="218" t="s">
        <v>197</v>
      </c>
      <c r="G127" s="228">
        <f t="shared" si="20"/>
        <v>138118768.7130487</v>
      </c>
      <c r="H127" s="229">
        <f t="shared" si="21"/>
        <v>109928476.26284467</v>
      </c>
      <c r="I127" s="230">
        <f t="shared" si="22"/>
        <v>28190292.450204033</v>
      </c>
    </row>
    <row r="128" spans="6:9" ht="12.75" customHeight="1" outlineLevel="1" x14ac:dyDescent="0.2"/>
    <row r="129" ht="12.75" customHeight="1" outlineLevel="1" x14ac:dyDescent="0.2"/>
    <row r="130" ht="12.75" customHeight="1" outlineLevel="1" x14ac:dyDescent="0.2"/>
    <row r="131" ht="12.75" customHeight="1" outlineLevel="1" x14ac:dyDescent="0.2"/>
    <row r="132" ht="12.75" customHeight="1" outlineLevel="1" x14ac:dyDescent="0.2"/>
    <row r="133" ht="12.75" customHeight="1" outlineLevel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62">
    <mergeCell ref="K80:L80"/>
    <mergeCell ref="J81:L81"/>
    <mergeCell ref="K74:L74"/>
    <mergeCell ref="K75:L75"/>
    <mergeCell ref="K76:L76"/>
    <mergeCell ref="K77:L77"/>
    <mergeCell ref="K78:L78"/>
    <mergeCell ref="K79:L79"/>
    <mergeCell ref="F70:H70"/>
    <mergeCell ref="K70:L70"/>
    <mergeCell ref="F71:G71"/>
    <mergeCell ref="K71:L71"/>
    <mergeCell ref="K72:L72"/>
    <mergeCell ref="K73:L73"/>
    <mergeCell ref="F67:G67"/>
    <mergeCell ref="J67:L67"/>
    <mergeCell ref="F68:G68"/>
    <mergeCell ref="J68:L68"/>
    <mergeCell ref="F69:G69"/>
    <mergeCell ref="K69:L69"/>
    <mergeCell ref="F64:G64"/>
    <mergeCell ref="J64:K64"/>
    <mergeCell ref="F65:G65"/>
    <mergeCell ref="J65:K65"/>
    <mergeCell ref="F66:G66"/>
    <mergeCell ref="J66:K66"/>
    <mergeCell ref="J59:K59"/>
    <mergeCell ref="J60:K60"/>
    <mergeCell ref="J61:K61"/>
    <mergeCell ref="J62:K62"/>
    <mergeCell ref="F63:H63"/>
    <mergeCell ref="J63:K63"/>
    <mergeCell ref="A16:P16"/>
    <mergeCell ref="B17:E17"/>
    <mergeCell ref="F17:M17"/>
    <mergeCell ref="N17:P17"/>
    <mergeCell ref="A57:H57"/>
    <mergeCell ref="J58:L58"/>
    <mergeCell ref="A12:C12"/>
    <mergeCell ref="D12:E12"/>
    <mergeCell ref="A13:C13"/>
    <mergeCell ref="D13:E13"/>
    <mergeCell ref="A14:C14"/>
    <mergeCell ref="D14:E14"/>
    <mergeCell ref="A9:C9"/>
    <mergeCell ref="D9:E9"/>
    <mergeCell ref="A10:C10"/>
    <mergeCell ref="D10:E10"/>
    <mergeCell ref="A11:C11"/>
    <mergeCell ref="D11:E11"/>
    <mergeCell ref="A6:C6"/>
    <mergeCell ref="D6:E6"/>
    <mergeCell ref="A7:C7"/>
    <mergeCell ref="D7:E7"/>
    <mergeCell ref="A8:C8"/>
    <mergeCell ref="D8:E8"/>
    <mergeCell ref="A1:N1"/>
    <mergeCell ref="O1:P1"/>
    <mergeCell ref="A2:P2"/>
    <mergeCell ref="A4:H4"/>
    <mergeCell ref="A5:C5"/>
    <mergeCell ref="D5:E5"/>
  </mergeCells>
  <conditionalFormatting sqref="B60:B95">
    <cfRule type="cellIs" dxfId="7" priority="5" operator="lessThan">
      <formula>0</formula>
    </cfRule>
    <cfRule type="cellIs" dxfId="6" priority="6" operator="greaterThanOrEqual">
      <formula>0</formula>
    </cfRule>
  </conditionalFormatting>
  <conditionalFormatting sqref="C60:C95">
    <cfRule type="cellIs" dxfId="5" priority="3" operator="lessThan">
      <formula>0</formula>
    </cfRule>
    <cfRule type="cellIs" dxfId="4" priority="4" operator="greaterThanOrEqual">
      <formula>0</formula>
    </cfRule>
  </conditionalFormatting>
  <conditionalFormatting sqref="H59:H61">
    <cfRule type="cellIs" dxfId="3" priority="7" operator="lessThan">
      <formula>0</formula>
    </cfRule>
    <cfRule type="cellIs" dxfId="2" priority="8" operator="greaterThanOrEqual">
      <formula>0</formula>
    </cfRule>
  </conditionalFormatting>
  <conditionalFormatting sqref="P19:P54">
    <cfRule type="cellIs" dxfId="1" priority="1" operator="lessThan">
      <formula>0</formula>
    </cfRule>
    <cfRule type="cellIs" dxfId="0" priority="2" operator="greaterThan">
      <formula>0</formula>
    </cfRule>
  </conditionalFormatting>
  <hyperlinks>
    <hyperlink ref="O1" location="'TRANG CHỦ'!A1" display="🏠 TRANG CHỦ" xr:uid="{47A81860-3A4A-3A4F-A70E-2DAFE687F266}"/>
  </hyperlinks>
  <pageMargins left="0.75" right="0.75" top="1" bottom="1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FEC2-140A-784A-A05F-12AA22886C51}">
  <sheetPr>
    <tabColor theme="4"/>
    <pageSetUpPr fitToPage="1"/>
  </sheetPr>
  <dimension ref="A1:H52"/>
  <sheetViews>
    <sheetView showGridLines="0" tabSelected="1" zoomScale="210" zoomScaleNormal="210" zoomScalePageLayoutView="90" workbookViewId="0">
      <pane ySplit="3" topLeftCell="A26" activePane="bottomLeft" state="frozen"/>
      <selection pane="bottomLeft" activeCell="D6" sqref="D6"/>
    </sheetView>
  </sheetViews>
  <sheetFormatPr baseColWidth="10" defaultColWidth="8.83203125" defaultRowHeight="19.5" customHeight="1" x14ac:dyDescent="0.15"/>
  <cols>
    <col min="1" max="1" width="5" style="6" customWidth="1"/>
    <col min="2" max="2" width="36.6640625" style="6" customWidth="1"/>
    <col min="3" max="3" width="9.1640625" style="80" customWidth="1"/>
    <col min="4" max="4" width="10.83203125" style="80" customWidth="1"/>
    <col min="5" max="5" width="18.33203125" style="80" customWidth="1"/>
    <col min="6" max="6" width="11" style="6" customWidth="1"/>
    <col min="7" max="7" width="17.5" style="6" customWidth="1"/>
    <col min="8" max="8" width="24" style="6" customWidth="1"/>
    <col min="9" max="9" width="8.83203125" style="6" customWidth="1"/>
    <col min="10" max="16384" width="8.83203125" style="6"/>
  </cols>
  <sheetData>
    <row r="1" spans="1:8" ht="34" customHeight="1" thickBot="1" x14ac:dyDescent="0.25">
      <c r="A1" s="1" t="s">
        <v>0</v>
      </c>
      <c r="B1" s="2"/>
      <c r="C1" s="3"/>
      <c r="D1" s="3"/>
      <c r="E1" s="3"/>
      <c r="F1" s="2"/>
      <c r="G1" s="4" t="s">
        <v>1</v>
      </c>
      <c r="H1" s="5"/>
    </row>
    <row r="2" spans="1:8" ht="30" customHeight="1" x14ac:dyDescent="0.15">
      <c r="A2" s="7"/>
      <c r="B2" s="8" t="s">
        <v>2</v>
      </c>
      <c r="C2" s="7"/>
      <c r="D2" s="7"/>
      <c r="E2" s="9">
        <v>150000000</v>
      </c>
      <c r="F2" s="7"/>
      <c r="G2" s="10" t="s">
        <v>3</v>
      </c>
      <c r="H2" s="11">
        <f>G29</f>
        <v>2195836.666666667</v>
      </c>
    </row>
    <row r="3" spans="1:8" s="15" customFormat="1" ht="22" customHeight="1" x14ac:dyDescent="0.1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4" t="s">
        <v>11</v>
      </c>
    </row>
    <row r="4" spans="1:8" s="22" customFormat="1" ht="19.5" customHeight="1" x14ac:dyDescent="0.15">
      <c r="A4" s="16" t="s">
        <v>12</v>
      </c>
      <c r="B4" s="17" t="s">
        <v>13</v>
      </c>
      <c r="C4" s="18"/>
      <c r="D4" s="19">
        <f>SUM(D5:D8)</f>
        <v>7.1680000000000008E-2</v>
      </c>
      <c r="E4" s="20">
        <f>SUM(E5:E8)</f>
        <v>10752000</v>
      </c>
      <c r="F4" s="18"/>
      <c r="G4" s="20">
        <f>SUM(G5:G8)</f>
        <v>79170</v>
      </c>
      <c r="H4" s="21"/>
    </row>
    <row r="5" spans="1:8" ht="19.5" customHeight="1" x14ac:dyDescent="0.15">
      <c r="A5" s="23">
        <v>1</v>
      </c>
      <c r="B5" s="24" t="s">
        <v>14</v>
      </c>
      <c r="C5" s="25" t="s">
        <v>15</v>
      </c>
      <c r="D5" s="26">
        <v>3.3340000000000002E-2</v>
      </c>
      <c r="E5" s="27">
        <f>D5*$E$2</f>
        <v>5001000</v>
      </c>
      <c r="F5" s="28">
        <v>300</v>
      </c>
      <c r="G5" s="27">
        <f>IF(F5&gt;0,E5/F5,0)</f>
        <v>16670</v>
      </c>
      <c r="H5" s="29" t="s">
        <v>16</v>
      </c>
    </row>
    <row r="6" spans="1:8" ht="19.5" customHeight="1" x14ac:dyDescent="0.15">
      <c r="A6" s="30">
        <v>2</v>
      </c>
      <c r="B6" s="31" t="s">
        <v>17</v>
      </c>
      <c r="C6" s="32" t="s">
        <v>15</v>
      </c>
      <c r="D6" s="26">
        <v>3.3340000000000002E-2</v>
      </c>
      <c r="E6" s="33">
        <f>D6*$E$2</f>
        <v>5001000</v>
      </c>
      <c r="F6" s="34">
        <v>0</v>
      </c>
      <c r="G6" s="33">
        <f>IF(F6&gt;0,E6/F6,0)</f>
        <v>0</v>
      </c>
      <c r="H6" s="29" t="s">
        <v>18</v>
      </c>
    </row>
    <row r="7" spans="1:8" ht="19.5" customHeight="1" x14ac:dyDescent="0.15">
      <c r="A7" s="23">
        <v>3</v>
      </c>
      <c r="B7" s="24" t="s">
        <v>19</v>
      </c>
      <c r="C7" s="35" t="s">
        <v>20</v>
      </c>
      <c r="D7" s="26">
        <v>5.0000000000000001E-3</v>
      </c>
      <c r="E7" s="27">
        <f>D7*$E$2</f>
        <v>750000</v>
      </c>
      <c r="F7" s="28">
        <v>12</v>
      </c>
      <c r="G7" s="27">
        <f>IF(F7&gt;0,E7/F7,0)</f>
        <v>62500</v>
      </c>
      <c r="H7" s="36"/>
    </row>
    <row r="8" spans="1:8" ht="19.5" customHeight="1" x14ac:dyDescent="0.15">
      <c r="A8" s="30">
        <v>4</v>
      </c>
      <c r="B8" s="31" t="s">
        <v>21</v>
      </c>
      <c r="C8" s="32" t="s">
        <v>15</v>
      </c>
      <c r="D8" s="26">
        <v>0</v>
      </c>
      <c r="E8" s="33">
        <f>D8*$E$2</f>
        <v>0</v>
      </c>
      <c r="F8" s="34">
        <v>300</v>
      </c>
      <c r="G8" s="33">
        <f>IF(F8&gt;0,E8/F8,0)</f>
        <v>0</v>
      </c>
      <c r="H8" s="36"/>
    </row>
    <row r="9" spans="1:8" s="22" customFormat="1" ht="19.5" customHeight="1" x14ac:dyDescent="0.15">
      <c r="A9" s="16" t="s">
        <v>22</v>
      </c>
      <c r="B9" s="17" t="s">
        <v>23</v>
      </c>
      <c r="C9" s="18"/>
      <c r="D9" s="19">
        <f>SUM(D10:D11)</f>
        <v>0.08</v>
      </c>
      <c r="E9" s="20">
        <f>SUM(E10:E11)</f>
        <v>12000000</v>
      </c>
      <c r="F9" s="18"/>
      <c r="G9" s="20">
        <f>SUM(G10:G11)</f>
        <v>500000</v>
      </c>
      <c r="H9" s="21"/>
    </row>
    <row r="10" spans="1:8" ht="19.5" customHeight="1" x14ac:dyDescent="0.15">
      <c r="A10" s="23">
        <v>5</v>
      </c>
      <c r="B10" s="24" t="s">
        <v>24</v>
      </c>
      <c r="C10" s="35" t="s">
        <v>20</v>
      </c>
      <c r="D10" s="26">
        <v>0.02</v>
      </c>
      <c r="E10" s="27">
        <f>D10*$E$2</f>
        <v>3000000</v>
      </c>
      <c r="F10" s="28">
        <v>6</v>
      </c>
      <c r="G10" s="27">
        <f>IF(F10&gt;0,E10/F10,0)</f>
        <v>500000</v>
      </c>
      <c r="H10" s="29" t="s">
        <v>25</v>
      </c>
    </row>
    <row r="11" spans="1:8" ht="19.5" customHeight="1" x14ac:dyDescent="0.15">
      <c r="A11" s="30">
        <v>6</v>
      </c>
      <c r="B11" s="31" t="s">
        <v>26</v>
      </c>
      <c r="C11" s="32" t="s">
        <v>15</v>
      </c>
      <c r="D11" s="26">
        <v>0.06</v>
      </c>
      <c r="E11" s="33">
        <f>D11*$E$2</f>
        <v>9000000</v>
      </c>
      <c r="F11" s="34">
        <v>0</v>
      </c>
      <c r="G11" s="33">
        <f>IF(F11&gt;0,E11/F11,0)</f>
        <v>0</v>
      </c>
      <c r="H11" s="29" t="s">
        <v>27</v>
      </c>
    </row>
    <row r="12" spans="1:8" s="22" customFormat="1" ht="19.5" customHeight="1" x14ac:dyDescent="0.15">
      <c r="A12" s="16" t="s">
        <v>28</v>
      </c>
      <c r="B12" s="17" t="s">
        <v>29</v>
      </c>
      <c r="C12" s="18"/>
      <c r="D12" s="19">
        <f>D13</f>
        <v>0.2</v>
      </c>
      <c r="E12" s="20">
        <f>E13</f>
        <v>30000000</v>
      </c>
      <c r="F12" s="18"/>
      <c r="G12" s="20">
        <f>G13</f>
        <v>0</v>
      </c>
      <c r="H12" s="21"/>
    </row>
    <row r="13" spans="1:8" ht="19.5" customHeight="1" x14ac:dyDescent="0.15">
      <c r="A13" s="23">
        <v>7</v>
      </c>
      <c r="B13" s="24" t="s">
        <v>30</v>
      </c>
      <c r="C13" s="25" t="s">
        <v>15</v>
      </c>
      <c r="D13" s="26">
        <v>0.2</v>
      </c>
      <c r="E13" s="27">
        <f>D13*$E$2</f>
        <v>30000000</v>
      </c>
      <c r="F13" s="28">
        <v>0</v>
      </c>
      <c r="G13" s="27">
        <f>IF(F13&gt;0,E13/F13,0)</f>
        <v>0</v>
      </c>
      <c r="H13" s="29" t="s">
        <v>31</v>
      </c>
    </row>
    <row r="14" spans="1:8" s="22" customFormat="1" ht="19.5" customHeight="1" x14ac:dyDescent="0.15">
      <c r="A14" s="16" t="s">
        <v>32</v>
      </c>
      <c r="B14" s="17" t="s">
        <v>33</v>
      </c>
      <c r="C14" s="18"/>
      <c r="D14" s="19">
        <f>SUM(D15:D22)</f>
        <v>0.58000000000000007</v>
      </c>
      <c r="E14" s="20">
        <f>SUM(E15:E22)</f>
        <v>87000000</v>
      </c>
      <c r="F14" s="18"/>
      <c r="G14" s="20">
        <f>SUM(G15:G22)</f>
        <v>1616666.6666666667</v>
      </c>
      <c r="H14" s="21"/>
    </row>
    <row r="15" spans="1:8" ht="19.5" customHeight="1" x14ac:dyDescent="0.15">
      <c r="A15" s="23">
        <v>8</v>
      </c>
      <c r="B15" s="24" t="s">
        <v>34</v>
      </c>
      <c r="C15" s="35" t="s">
        <v>20</v>
      </c>
      <c r="D15" s="26">
        <v>0.05</v>
      </c>
      <c r="E15" s="27">
        <f t="shared" ref="E15:E22" si="0">D15*$E$2</f>
        <v>7500000</v>
      </c>
      <c r="F15" s="28">
        <v>60</v>
      </c>
      <c r="G15" s="27">
        <f t="shared" ref="G15:G22" si="1">IF(F15&gt;0,E15/F15,0)</f>
        <v>125000</v>
      </c>
      <c r="H15" s="29" t="s">
        <v>35</v>
      </c>
    </row>
    <row r="16" spans="1:8" ht="19.5" customHeight="1" x14ac:dyDescent="0.15">
      <c r="A16" s="30">
        <v>9</v>
      </c>
      <c r="B16" s="31" t="s">
        <v>36</v>
      </c>
      <c r="C16" s="37" t="s">
        <v>20</v>
      </c>
      <c r="D16" s="26">
        <v>0.1</v>
      </c>
      <c r="E16" s="33">
        <f t="shared" si="0"/>
        <v>15000000</v>
      </c>
      <c r="F16" s="34">
        <v>60</v>
      </c>
      <c r="G16" s="33">
        <f t="shared" si="1"/>
        <v>250000</v>
      </c>
      <c r="H16" s="29" t="s">
        <v>37</v>
      </c>
    </row>
    <row r="17" spans="1:8" ht="19.5" customHeight="1" x14ac:dyDescent="0.15">
      <c r="A17" s="23">
        <v>10</v>
      </c>
      <c r="B17" s="24" t="s">
        <v>38</v>
      </c>
      <c r="C17" s="35" t="s">
        <v>20</v>
      </c>
      <c r="D17" s="26">
        <v>0.1</v>
      </c>
      <c r="E17" s="27">
        <f t="shared" si="0"/>
        <v>15000000</v>
      </c>
      <c r="F17" s="28">
        <v>60</v>
      </c>
      <c r="G17" s="27">
        <f t="shared" si="1"/>
        <v>250000</v>
      </c>
      <c r="H17" s="38" t="s">
        <v>39</v>
      </c>
    </row>
    <row r="18" spans="1:8" ht="19.5" customHeight="1" x14ac:dyDescent="0.15">
      <c r="A18" s="30">
        <v>11</v>
      </c>
      <c r="B18" s="31" t="s">
        <v>40</v>
      </c>
      <c r="C18" s="37" t="s">
        <v>20</v>
      </c>
      <c r="D18" s="26">
        <v>0.06</v>
      </c>
      <c r="E18" s="33">
        <f t="shared" si="0"/>
        <v>9000000</v>
      </c>
      <c r="F18" s="34">
        <v>60</v>
      </c>
      <c r="G18" s="33">
        <f t="shared" si="1"/>
        <v>150000</v>
      </c>
      <c r="H18" s="29" t="s">
        <v>41</v>
      </c>
    </row>
    <row r="19" spans="1:8" ht="19.5" customHeight="1" x14ac:dyDescent="0.15">
      <c r="A19" s="23">
        <v>12</v>
      </c>
      <c r="B19" s="24" t="s">
        <v>42</v>
      </c>
      <c r="C19" s="35" t="s">
        <v>20</v>
      </c>
      <c r="D19" s="26">
        <v>7.0000000000000007E-2</v>
      </c>
      <c r="E19" s="27">
        <f t="shared" si="0"/>
        <v>10500000.000000002</v>
      </c>
      <c r="F19" s="28">
        <v>60</v>
      </c>
      <c r="G19" s="27">
        <f t="shared" si="1"/>
        <v>175000.00000000003</v>
      </c>
      <c r="H19" s="38" t="s">
        <v>43</v>
      </c>
    </row>
    <row r="20" spans="1:8" ht="19.5" customHeight="1" x14ac:dyDescent="0.15">
      <c r="A20" s="30">
        <v>13</v>
      </c>
      <c r="B20" s="31" t="s">
        <v>44</v>
      </c>
      <c r="C20" s="37" t="s">
        <v>20</v>
      </c>
      <c r="D20" s="26">
        <v>7.0000000000000007E-2</v>
      </c>
      <c r="E20" s="33">
        <f t="shared" si="0"/>
        <v>10500000.000000002</v>
      </c>
      <c r="F20" s="34">
        <v>60</v>
      </c>
      <c r="G20" s="33">
        <f t="shared" si="1"/>
        <v>175000.00000000003</v>
      </c>
      <c r="H20" s="38" t="s">
        <v>45</v>
      </c>
    </row>
    <row r="21" spans="1:8" ht="19.5" customHeight="1" x14ac:dyDescent="0.15">
      <c r="A21" s="23">
        <v>14</v>
      </c>
      <c r="B21" s="24" t="s">
        <v>46</v>
      </c>
      <c r="C21" s="35" t="s">
        <v>20</v>
      </c>
      <c r="D21" s="26">
        <v>0.1</v>
      </c>
      <c r="E21" s="27">
        <f t="shared" si="0"/>
        <v>15000000</v>
      </c>
      <c r="F21" s="28">
        <v>36</v>
      </c>
      <c r="G21" s="27">
        <f t="shared" si="1"/>
        <v>416666.66666666669</v>
      </c>
      <c r="H21" s="38" t="s">
        <v>47</v>
      </c>
    </row>
    <row r="22" spans="1:8" ht="19.5" customHeight="1" x14ac:dyDescent="0.15">
      <c r="A22" s="30">
        <v>15</v>
      </c>
      <c r="B22" s="31" t="s">
        <v>48</v>
      </c>
      <c r="C22" s="37" t="s">
        <v>20</v>
      </c>
      <c r="D22" s="26">
        <v>0.03</v>
      </c>
      <c r="E22" s="33">
        <f t="shared" si="0"/>
        <v>4500000</v>
      </c>
      <c r="F22" s="34">
        <v>60</v>
      </c>
      <c r="G22" s="33">
        <f t="shared" si="1"/>
        <v>75000</v>
      </c>
      <c r="H22" s="29" t="s">
        <v>49</v>
      </c>
    </row>
    <row r="23" spans="1:8" s="22" customFormat="1" ht="19.5" customHeight="1" x14ac:dyDescent="0.15">
      <c r="A23" s="16" t="s">
        <v>50</v>
      </c>
      <c r="B23" s="17" t="s">
        <v>51</v>
      </c>
      <c r="C23" s="18"/>
      <c r="D23" s="19">
        <f>D24</f>
        <v>0.02</v>
      </c>
      <c r="E23" s="20">
        <f>E24</f>
        <v>3000000</v>
      </c>
      <c r="F23" s="18"/>
      <c r="G23" s="20">
        <f>G24</f>
        <v>0</v>
      </c>
      <c r="H23" s="21"/>
    </row>
    <row r="24" spans="1:8" ht="19.5" customHeight="1" x14ac:dyDescent="0.15">
      <c r="A24" s="23">
        <v>16</v>
      </c>
      <c r="B24" s="24" t="s">
        <v>52</v>
      </c>
      <c r="C24" s="25" t="s">
        <v>15</v>
      </c>
      <c r="D24" s="26">
        <v>0.02</v>
      </c>
      <c r="E24" s="27">
        <f>D24*$E$2</f>
        <v>3000000</v>
      </c>
      <c r="F24" s="28">
        <v>0</v>
      </c>
      <c r="G24" s="27">
        <f>IF(F24&gt;0,E24/F24,0)</f>
        <v>0</v>
      </c>
      <c r="H24" s="29" t="s">
        <v>53</v>
      </c>
    </row>
    <row r="25" spans="1:8" ht="19.5" customHeight="1" x14ac:dyDescent="0.15">
      <c r="A25" s="16" t="s">
        <v>54</v>
      </c>
      <c r="B25" s="17" t="s">
        <v>55</v>
      </c>
      <c r="C25" s="18"/>
      <c r="D25" s="19">
        <f>SUM(D26)</f>
        <v>0</v>
      </c>
      <c r="E25" s="20">
        <f>SUM(E26)</f>
        <v>0</v>
      </c>
      <c r="F25" s="18"/>
      <c r="G25" s="20">
        <f>SUM(G26)</f>
        <v>0</v>
      </c>
      <c r="H25" s="21"/>
    </row>
    <row r="26" spans="1:8" s="22" customFormat="1" ht="19.5" customHeight="1" x14ac:dyDescent="0.15">
      <c r="A26" s="39">
        <v>17</v>
      </c>
      <c r="B26" s="40" t="s">
        <v>56</v>
      </c>
      <c r="C26" s="41" t="s">
        <v>15</v>
      </c>
      <c r="D26" s="42">
        <v>0</v>
      </c>
      <c r="E26" s="43">
        <f>D26*$E$2</f>
        <v>0</v>
      </c>
      <c r="F26" s="44">
        <v>0</v>
      </c>
      <c r="G26" s="43">
        <f>IF(F26&gt;0,E26/F26,0)</f>
        <v>0</v>
      </c>
      <c r="H26" s="45"/>
    </row>
    <row r="27" spans="1:8" ht="5" customHeight="1" x14ac:dyDescent="0.15">
      <c r="A27" s="46"/>
      <c r="B27" s="46"/>
      <c r="C27" s="46"/>
      <c r="D27" s="46"/>
      <c r="E27" s="46"/>
      <c r="F27" s="46"/>
      <c r="G27" s="46"/>
      <c r="H27" s="46"/>
    </row>
    <row r="28" spans="1:8" ht="5" customHeight="1" thickBot="1" x14ac:dyDescent="0.2">
      <c r="A28" s="46"/>
      <c r="B28" s="47"/>
      <c r="C28" s="47"/>
      <c r="D28" s="47"/>
      <c r="E28" s="47"/>
      <c r="F28" s="47"/>
      <c r="G28" s="47"/>
      <c r="H28" s="47"/>
    </row>
    <row r="29" spans="1:8" ht="19.5" customHeight="1" thickBot="1" x14ac:dyDescent="0.2">
      <c r="A29" s="48"/>
      <c r="B29" s="49" t="s">
        <v>57</v>
      </c>
      <c r="C29" s="50"/>
      <c r="D29" s="51">
        <f>D4+D9+D12+D14+D23+D25</f>
        <v>0.95168000000000008</v>
      </c>
      <c r="E29" s="52">
        <f>E4+E9+E12+E14+E23+E25</f>
        <v>142752000</v>
      </c>
      <c r="F29" s="48"/>
      <c r="G29" s="53">
        <f>G4+G9+G12+G14+G23+G25</f>
        <v>2195836.666666667</v>
      </c>
      <c r="H29" s="48"/>
    </row>
    <row r="30" spans="1:8" ht="5" customHeight="1" x14ac:dyDescent="0.15">
      <c r="A30" s="54"/>
      <c r="B30" s="54"/>
      <c r="C30" s="55"/>
      <c r="D30" s="55"/>
      <c r="E30" s="55"/>
      <c r="F30" s="54"/>
      <c r="G30" s="54"/>
      <c r="H30" s="54"/>
    </row>
    <row r="31" spans="1:8" ht="19.5" customHeight="1" x14ac:dyDescent="0.15">
      <c r="A31" s="56"/>
      <c r="B31" s="57" t="s">
        <v>58</v>
      </c>
      <c r="C31" s="58"/>
      <c r="D31" s="59" t="s">
        <v>59</v>
      </c>
      <c r="E31" s="59" t="s">
        <v>60</v>
      </c>
      <c r="F31" s="60"/>
      <c r="G31" s="59" t="s">
        <v>61</v>
      </c>
      <c r="H31" s="61" t="s">
        <v>62</v>
      </c>
    </row>
    <row r="32" spans="1:8" ht="19.5" customHeight="1" x14ac:dyDescent="0.15">
      <c r="A32" s="62" t="s">
        <v>63</v>
      </c>
      <c r="B32" s="63" t="s">
        <v>64</v>
      </c>
      <c r="C32" s="64"/>
      <c r="D32" s="65">
        <f>(E5+E7+E10+SUM(E15:E22))/E29</f>
        <v>0.67075067249495623</v>
      </c>
      <c r="E32" s="66">
        <f>E5+E7+E10+SUM(E15:E22)</f>
        <v>95751000</v>
      </c>
      <c r="F32" s="67"/>
      <c r="G32" s="68">
        <f>G29</f>
        <v>2195836.666666667</v>
      </c>
      <c r="H32" s="69" t="s">
        <v>65</v>
      </c>
    </row>
    <row r="33" spans="1:8" ht="19.5" customHeight="1" x14ac:dyDescent="0.15">
      <c r="A33" s="70" t="s">
        <v>66</v>
      </c>
      <c r="B33" s="71" t="s">
        <v>67</v>
      </c>
      <c r="C33" s="64"/>
      <c r="D33" s="72">
        <f>1-D32</f>
        <v>0.32924932750504377</v>
      </c>
      <c r="E33" s="73">
        <f>E29-E32</f>
        <v>47001000</v>
      </c>
      <c r="F33" s="67"/>
      <c r="G33" s="74" t="s">
        <v>68</v>
      </c>
      <c r="H33" s="75" t="s">
        <v>69</v>
      </c>
    </row>
    <row r="34" spans="1:8" ht="19.5" customHeight="1" thickBot="1" x14ac:dyDescent="0.25">
      <c r="A34" s="76"/>
      <c r="B34" s="77" t="s">
        <v>70</v>
      </c>
      <c r="C34" s="78"/>
      <c r="D34" s="78"/>
      <c r="E34" s="78"/>
      <c r="F34" s="78"/>
      <c r="G34" s="78"/>
      <c r="H34" s="79"/>
    </row>
    <row r="39" spans="1:8" s="80" customFormat="1" ht="19.5" customHeight="1" x14ac:dyDescent="0.15">
      <c r="A39" s="6"/>
      <c r="B39" s="6"/>
    </row>
    <row r="40" spans="1:8" s="80" customFormat="1" ht="19.5" customHeight="1" x14ac:dyDescent="0.15">
      <c r="A40" s="6"/>
      <c r="B40" s="6"/>
    </row>
    <row r="41" spans="1:8" s="80" customFormat="1" ht="19.5" customHeight="1" x14ac:dyDescent="0.15">
      <c r="A41" s="6"/>
      <c r="B41" s="6"/>
    </row>
    <row r="42" spans="1:8" s="80" customFormat="1" ht="19.5" customHeight="1" x14ac:dyDescent="0.15">
      <c r="A42" s="6"/>
      <c r="B42" s="6"/>
    </row>
    <row r="43" spans="1:8" s="80" customFormat="1" ht="19.5" customHeight="1" x14ac:dyDescent="0.15">
      <c r="A43" s="6"/>
      <c r="B43" s="6"/>
    </row>
    <row r="44" spans="1:8" s="80" customFormat="1" ht="19.5" customHeight="1" x14ac:dyDescent="0.15">
      <c r="A44" s="6"/>
      <c r="B44" s="6"/>
    </row>
    <row r="45" spans="1:8" s="80" customFormat="1" ht="19.5" customHeight="1" x14ac:dyDescent="0.15">
      <c r="A45" s="6"/>
      <c r="B45" s="6"/>
    </row>
    <row r="46" spans="1:8" s="80" customFormat="1" ht="19.5" customHeight="1" x14ac:dyDescent="0.15">
      <c r="A46" s="6"/>
      <c r="B46" s="6"/>
    </row>
    <row r="47" spans="1:8" s="80" customFormat="1" ht="19.5" customHeight="1" x14ac:dyDescent="0.15">
      <c r="A47" s="6"/>
      <c r="B47" s="6"/>
    </row>
    <row r="48" spans="1:8" s="80" customFormat="1" ht="19.5" customHeight="1" x14ac:dyDescent="0.15">
      <c r="A48" s="6"/>
      <c r="B48" s="6"/>
    </row>
    <row r="49" spans="1:2" s="80" customFormat="1" ht="19.5" customHeight="1" x14ac:dyDescent="0.15">
      <c r="A49" s="6"/>
      <c r="B49" s="6"/>
    </row>
    <row r="50" spans="1:2" s="80" customFormat="1" ht="19.5" customHeight="1" x14ac:dyDescent="0.15">
      <c r="A50" s="6"/>
      <c r="B50" s="6"/>
    </row>
    <row r="51" spans="1:2" s="80" customFormat="1" ht="19.5" customHeight="1" x14ac:dyDescent="0.15">
      <c r="A51" s="6"/>
      <c r="B51" s="6"/>
    </row>
    <row r="52" spans="1:2" s="80" customFormat="1" ht="19.5" customHeight="1" x14ac:dyDescent="0.15">
      <c r="A52" s="6"/>
      <c r="B52" s="6"/>
    </row>
  </sheetData>
  <mergeCells count="3">
    <mergeCell ref="A1:F1"/>
    <mergeCell ref="G1:H1"/>
    <mergeCell ref="B34:H34"/>
  </mergeCells>
  <hyperlinks>
    <hyperlink ref="G1" location="'TRANG CHỦ'!A1" display="🏠 TRANG CHỦ" xr:uid="{1761753E-C7CF-6743-99D6-D0217F792B8B}"/>
  </hyperlinks>
  <printOptions horizontalCentered="1"/>
  <pageMargins left="0.25" right="0.25" top="0.75" bottom="0.75" header="0.3" footer="0.3"/>
  <pageSetup scale="5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 HOACH DONG TIEN</vt:lpstr>
      <vt:lpstr>CHI PHI DAU TU</vt:lpstr>
      <vt:lpstr>'CHI PHI DAU TU'!Print_Titles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Trí Lê</dc:creator>
  <cp:lastModifiedBy>Trí Lê</cp:lastModifiedBy>
  <dcterms:created xsi:type="dcterms:W3CDTF">2026-09-29T04:06:55Z</dcterms:created>
  <dcterms:modified xsi:type="dcterms:W3CDTF">2026-09-29T04:08:48Z</dcterms:modified>
</cp:coreProperties>
</file>